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autoCompressPictures="0"/>
  <mc:AlternateContent xmlns:mc="http://schemas.openxmlformats.org/markup-compatibility/2006">
    <mc:Choice Requires="x15">
      <x15ac:absPath xmlns:x15ac="http://schemas.microsoft.com/office/spreadsheetml/2010/11/ac" url="H:\Environmental docs\CMRT-EMRT\"/>
    </mc:Choice>
  </mc:AlternateContent>
  <xr:revisionPtr revIDLastSave="0" documentId="13_ncr:1_{CCDA5D0A-920E-49D9-8031-A335E173F61E}" xr6:coauthVersionLast="36" xr6:coauthVersionMax="36"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2920" windowHeight="55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V15" i="5"/>
  <c r="J15" i="5"/>
  <c r="E15" i="5"/>
  <c r="S15" i="5"/>
  <c r="T15" i="5"/>
  <c r="V16" i="5"/>
  <c r="J16" i="5"/>
  <c r="E16" i="5"/>
  <c r="S16" i="5"/>
  <c r="T16" i="5"/>
  <c r="V17" i="5"/>
  <c r="J17" i="5"/>
  <c r="E17" i="5"/>
  <c r="S17" i="5"/>
  <c r="T17" i="5"/>
  <c r="V18" i="5"/>
  <c r="J18" i="5"/>
  <c r="E18" i="5"/>
  <c r="S18" i="5"/>
  <c r="T18" i="5"/>
  <c r="V19" i="5"/>
  <c r="J19" i="5"/>
  <c r="E19" i="5"/>
  <c r="S19" i="5"/>
  <c r="T19" i="5"/>
  <c r="V20" i="5"/>
  <c r="J20" i="5"/>
  <c r="E20" i="5"/>
  <c r="S20" i="5"/>
  <c r="T20" i="5"/>
  <c r="V21" i="5"/>
  <c r="J21" i="5"/>
  <c r="E21" i="5"/>
  <c r="S21" i="5"/>
  <c r="T21" i="5"/>
  <c r="V22" i="5"/>
  <c r="J22" i="5"/>
  <c r="E22" i="5"/>
  <c r="S22" i="5"/>
  <c r="T22"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J25" i="5"/>
  <c r="AB26" i="5"/>
  <c r="X39" i="5"/>
  <c r="I46" i="5"/>
  <c r="AB22"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<sst xmlns="http://schemas.openxmlformats.org/spreadsheetml/2006/main" count="22361" uniqueCount="15826">
  <si>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</si>
  <si>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</si>
  <si>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</si>
  <si>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</si>
  <si>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</si>
  <si>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</si>
  <si>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</si>
  <si>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</si>
  <si>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</si>
  <si>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</si>
  <si>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</si>
  <si>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</si>
  <si>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</si>
  <si>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</si>
  <si>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</si>
  <si>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</si>
  <si>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</si>
  <si>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</si>
  <si>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</si>
  <si>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</si>
  <si>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</si>
  <si>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</si>
  <si>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</si>
  <si>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</si>
  <si>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</si>
  <si>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</si>
  <si>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</si>
  <si>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</si>
  <si>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</si>
  <si>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</si>
  <si>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</si>
  <si>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</si>
  <si>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</si>
  <si>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</si>
  <si>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</si>
  <si>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</si>
  <si>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</si>
  <si>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</si>
  <si>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</si>
  <si>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</si>
  <si>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</si>
  <si>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</si>
  <si>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</si>
  <si>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</si>
  <si>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</si>
  <si>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</si>
  <si>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</si>
  <si>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</si>
  <si>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</si>
  <si>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</si>
  <si>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</si>
  <si>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</si>
  <si>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</si>
  <si>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</si>
  <si>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</si>
  <si>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</si>
  <si>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</si>
  <si>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</si>
  <si>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</si>
  <si>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</si>
  <si>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</si>
  <si>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</si>
  <si>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</si>
  <si>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</si>
  <si>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</si>
  <si>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</si>
  <si>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</si>
  <si>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</si>
  <si>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</si>
  <si>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</si>
  <si>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</si>
  <si>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</si>
  <si>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</si>
  <si>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</si>
  <si>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</si>
  <si>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</si>
  <si>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</si>
  <si>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</si>
  <si>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</si>
  <si>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</si>
  <si>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</si>
  <si>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</si>
  <si>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</si>
  <si>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</si>
  <si>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</si>
  <si>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</si>
  <si>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</si>
  <si>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</si>
  <si>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</si>
  <si>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</si>
  <si>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</si>
  <si>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</si>
  <si>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</si>
  <si>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</si>
  <si>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</si>
  <si>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</si>
  <si>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</si>
  <si>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</si>
  <si>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</si>
  <si>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</si>
  <si>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</si>
  <si>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</si>
  <si>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</si>
  <si>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</si>
  <si>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</si>
  <si>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</si>
  <si>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</si>
  <si>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</si>
  <si>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</si>
  <si>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</si>
  <si>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</si>
  <si>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</si>
  <si>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</si>
  <si>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</si>
  <si>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</si>
  <si>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</si>
  <si>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</si>
  <si>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</si>
  <si>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</si>
  <si>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</si>
  <si>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</si>
  <si>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</si>
  <si>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</si>
  <si>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</si>
  <si>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</si>
  <si>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</si>
  <si>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</si>
  <si>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</si>
  <si>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</si>
  <si>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</si>
  <si>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</si>
  <si>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</si>
  <si>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</si>
  <si>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</si>
  <si>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</si>
  <si>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</si>
  <si>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</si>
  <si>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</si>
  <si>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</si>
  <si>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</si>
  <si>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</si>
  <si>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</si>
  <si>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</si>
  <si>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</si>
  <si>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</si>
  <si>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</si>
  <si>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</si>
  <si>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</si>
  <si>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</si>
  <si>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</si>
  <si>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</si>
  <si>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</si>
  <si>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</si>
  <si>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</si>
  <si>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</si>
  <si>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</si>
  <si>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</si>
  <si>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</si>
  <si>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</si>
  <si>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</si>
  <si>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</si>
  <si>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</si>
  <si>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</si>
  <si>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</si>
  <si>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</si>
  <si>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</si>
  <si>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</si>
  <si>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</si>
  <si>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</si>
  <si>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</si>
  <si>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</si>
  <si>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</si>
  <si>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</si>
  <si>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</si>
  <si>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</si>
  <si>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</si>
  <si>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</si>
  <si>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</si>
  <si>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</si>
  <si>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</si>
  <si>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</si>
  <si>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</si>
  <si>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</si>
  <si>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</si>
  <si>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</si>
  <si>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</si>
  <si>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</si>
  <si>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</si>
  <si>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</si>
  <si>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</si>
  <si>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</si>
  <si>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</si>
  <si>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</si>
  <si>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</si>
  <si>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</si>
  <si>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</si>
  <si>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</si>
  <si>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</si>
  <si>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</si>
  <si>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</si>
  <si>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</si>
  <si>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</si>
  <si>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</si>
  <si>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</si>
  <si>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</si>
  <si>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</si>
  <si>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</si>
  <si>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</si>
  <si>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</si>
  <si>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</si>
  <si>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</si>
  <si>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</si>
  <si>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</si>
  <si>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</si>
  <si>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</si>
  <si>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</si>
  <si>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</si>
  <si>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</si>
  <si>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</si>
  <si>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</si>
  <si>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</si>
  <si>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</si>
  <si>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</si>
  <si>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</si>
  <si>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</si>
  <si>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</si>
  <si>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</si>
  <si>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</si>
  <si>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</si>
  <si>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</si>
  <si>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</si>
  <si>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</si>
  <si>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</si>
  <si>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</si>
  <si>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</si>
  <si>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</si>
  <si>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</si>
  <si>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</si>
  <si>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</si>
  <si>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</si>
  <si>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</si>
  <si>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</si>
  <si>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</si>
  <si>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</si>
  <si>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</si>
  <si>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</si>
  <si>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</si>
  <si>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</si>
  <si>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</si>
  <si>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</si>
  <si>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</si>
  <si>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</si>
  <si>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</si>
  <si>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</si>
  <si>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</si>
  <si>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</si>
  <si>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</si>
  <si>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</si>
  <si>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</si>
  <si>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</si>
  <si>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</si>
  <si>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</si>
  <si>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</si>
  <si>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</si>
  <si>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</si>
  <si>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</si>
  <si>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</si>
  <si>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</si>
  <si>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</si>
  <si>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</si>
  <si>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</si>
  <si>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</si>
  <si>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</si>
  <si>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</si>
  <si>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</si>
  <si>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</si>
  <si>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</si>
  <si>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</si>
  <si>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</si>
  <si>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</si>
  <si>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</si>
  <si>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</si>
  <si>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</si>
  <si>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</si>
  <si>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</si>
  <si>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</si>
  <si>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</si>
  <si>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</si>
  <si>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</si>
  <si>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</si>
  <si>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</si>
  <si>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</si>
  <si>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</si>
  <si>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</si>
  <si>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</si>
  <si>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</si>
  <si>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</si>
  <si>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</si>
  <si>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</si>
  <si>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</si>
  <si>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</si>
  <si>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</si>
  <si>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</si>
  <si>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</si>
  <si>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</si>
  <si>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</si>
  <si>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</si>
  <si>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</si>
  <si>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</si>
  <si>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</si>
  <si>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</si>
  <si>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</si>
  <si>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</si>
  <si>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</si>
  <si>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</si>
  <si>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</si>
  <si>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</si>
  <si>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</si>
  <si>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</si>
  <si>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</si>
  <si>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</si>
  <si>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</si>
  <si>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</si>
  <si>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</si>
  <si>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</si>
  <si>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</si>
  <si>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</si>
  <si>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</si>
  <si>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</si>
  <si>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</si>
  <si>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</si>
  <si>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</si>
  <si>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</si>
  <si>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</si>
  <si>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</si>
  <si>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</si>
  <si>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</si>
  <si>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</si>
  <si>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</si>
  <si>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</si>
  <si>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</si>
  <si>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</si>
  <si>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</si>
  <si>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</si>
  <si>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</si>
  <si>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</si>
  <si>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</si>
  <si>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</si>
  <si>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</si>
  <si>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</si>
  <si>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</si>
  <si>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</si>
  <si>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</si>
  <si>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</si>
  <si>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</si>
  <si>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</si>
  <si>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</si>
  <si>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</si>
  <si>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</si>
  <si>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</si>
  <si>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</si>
  <si>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</si>
  <si>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</si>
  <si>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</si>
  <si>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</si>
  <si>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</si>
  <si>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</si>
  <si>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</si>
  <si>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</si>
  <si>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</si>
  <si>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</si>
  <si>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</si>
  <si>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</si>
  <si>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</si>
  <si>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</si>
  <si>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</si>
  <si>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</si>
  <si>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</si>
  <si>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</si>
  <si>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</si>
  <si>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</si>
  <si>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</si>
  <si>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</si>
  <si>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</si>
  <si>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</si>
  <si>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</si>
  <si>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</si>
  <si>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</si>
  <si>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</si>
  <si>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</si>
  <si>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</si>
  <si>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</si>
  <si>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</si>
  <si>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</si>
  <si>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</si>
  <si>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</si>
  <si>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</si>
  <si>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</si>
  <si>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</si>
  <si>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</si>
  <si>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</si>
  <si>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</si>
  <si>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</si>
  <si>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</si>
  <si>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</si>
  <si>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</si>
  <si>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</si>
  <si>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</si>
  <si>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</si>
  <si>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</si>
  <si>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</si>
  <si>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</si>
  <si>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</si>
  <si>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</si>
  <si>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</si>
  <si>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</si>
  <si>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</si>
  <si>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</si>
  <si>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</si>
  <si>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</si>
  <si>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</si>
  <si>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</si>
  <si>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</si>
  <si>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</si>
  <si>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</si>
  <si>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</si>
  <si>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</si>
  <si>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</si>
  <si>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</si>
  <si>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</si>
  <si>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</si>
  <si>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</si>
  <si>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</si>
  <si>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</si>
  <si>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</si>
  <si>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</si>
  <si>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</si>
  <si>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</si>
  <si>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</si>
  <si>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</si>
  <si>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</si>
  <si>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</si>
  <si>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</si>
  <si>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</si>
  <si>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</si>
  <si>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</si>
  <si>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</si>
  <si>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</si>
  <si>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</si>
  <si>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</si>
  <si>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</si>
  <si>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</si>
  <si>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</si>
  <si>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</si>
  <si>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</si>
  <si>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</si>
  <si>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</si>
  <si>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</si>
  <si>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</si>
  <si>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</si>
  <si>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</si>
  <si>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</si>
  <si>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</si>
  <si>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</si>
  <si>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</si>
  <si>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</si>
  <si>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</si>
  <si>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</si>
  <si>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</si>
  <si>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</si>
  <si>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</si>
  <si>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</si>
  <si>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</si>
  <si>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</si>
  <si>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</si>
  <si>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</si>
  <si>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</si>
  <si>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</si>
  <si>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</si>
  <si>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</si>
  <si>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</si>
  <si>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</si>
  <si>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</si>
  <si>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</si>
  <si>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</si>
  <si>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</si>
  <si>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</si>
  <si>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</si>
  <si>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</si>
  <si>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</si>
  <si>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</si>
  <si>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</si>
  <si>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</si>
  <si>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</si>
  <si>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</si>
  <si>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</si>
  <si>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</si>
  <si>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</si>
  <si>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</si>
  <si>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</si>
  <si>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</si>
  <si>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</si>
  <si>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</si>
  <si>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</si>
  <si>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</si>
  <si>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</si>
  <si>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</si>
  <si>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</si>
  <si>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</si>
  <si>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</si>
  <si>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</si>
  <si>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</si>
  <si>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</si>
  <si>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</si>
  <si>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</si>
  <si>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</si>
  <si>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</si>
  <si>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</si>
  <si>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</si>
  <si>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</si>
  <si>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</si>
  <si>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</si>
  <si>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</si>
  <si>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</si>
  <si>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</si>
  <si>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</si>
  <si>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</si>
  <si>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</si>
  <si>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</si>
  <si>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</si>
  <si>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</si>
  <si>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</si>
  <si>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</si>
  <si>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</si>
  <si>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</si>
  <si>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</si>
  <si>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</si>
  <si>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</si>
  <si>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</si>
  <si>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</si>
  <si>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</si>
  <si>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</si>
  <si>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</si>
  <si>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</si>
  <si>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</si>
  <si>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</si>
  <si>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</si>
  <si>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</si>
  <si>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</si>
  <si>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</si>
  <si>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</si>
  <si>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</si>
  <si>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</si>
  <si>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</si>
  <si>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</si>
  <si>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</si>
  <si>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</si>
  <si>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</si>
  <si>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</si>
  <si>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</si>
  <si>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</si>
  <si>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</si>
  <si>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</si>
  <si>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</si>
  <si>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</si>
  <si>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</si>
  <si>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</si>
  <si>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</si>
  <si>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</si>
  <si>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</si>
  <si>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</si>
  <si>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</si>
  <si>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</si>
  <si>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</si>
  <si>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</si>
  <si>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</si>
  <si>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</si>
  <si>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</si>
  <si>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</si>
  <si>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</si>
  <si>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</si>
  <si>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</si>
  <si>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</si>
  <si>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</si>
  <si>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</si>
  <si>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</si>
  <si>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</si>
  <si>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</si>
  <si>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</si>
  <si>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</si>
  <si>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</si>
  <si>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</si>
  <si>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</si>
  <si>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</si>
  <si>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</si>
  <si>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</si>
  <si>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</si>
  <si>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</si>
  <si>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</si>
  <si>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</si>
  <si>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</si>
  <si>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</si>
  <si>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</si>
  <si>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</si>
  <si>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</si>
  <si>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</si>
  <si>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</si>
  <si>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</si>
  <si>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</si>
  <si>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</si>
  <si>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</si>
  <si>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</si>
  <si>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</si>
  <si>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</si>
  <si>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</si>
  <si>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</si>
  <si>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</si>
  <si>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</si>
  <si>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</si>
  <si>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</si>
  <si>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</si>
  <si>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</si>
  <si>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</si>
  <si>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</si>
  <si>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</si>
  <si>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</si>
  <si>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</si>
  <si>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</si>
  <si>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</si>
  <si>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</si>
  <si>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</si>
  <si>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</si>
  <si>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</si>
  <si>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</si>
  <si>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</si>
  <si>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</si>
  <si>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</si>
  <si>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</si>
  <si>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</si>
  <si>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</si>
  <si>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</si>
  <si>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</si>
  <si>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</si>
  <si>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</si>
  <si>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</si>
  <si>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</si>
  <si>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</si>
  <si>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</si>
  <si>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</si>
  <si>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</si>
  <si>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</si>
  <si>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</si>
  <si>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</si>
  <si>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</si>
  <si>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</si>
  <si>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</si>
  <si>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</si>
  <si>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</si>
  <si>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</si>
  <si>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</si>
  <si>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</si>
  <si>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</si>
  <si>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</si>
  <si>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</si>
  <si>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</si>
  <si>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</si>
  <si>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</si>
  <si>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</si>
  <si>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</si>
  <si>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</si>
  <si>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</si>
  <si>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</si>
  <si>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</si>
  <si>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</si>
  <si>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</si>
  <si>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</si>
  <si>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</si>
  <si>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</si>
  <si>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</si>
  <si>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</si>
  <si>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</si>
  <si>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</si>
  <si>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</si>
  <si>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</si>
  <si>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</si>
  <si>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</si>
  <si>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</si>
  <si>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</si>
  <si>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</si>
  <si>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</si>
  <si>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</si>
  <si>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</si>
  <si>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</si>
  <si>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</si>
  <si>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</si>
  <si>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</si>
  <si>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</si>
  <si>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</si>
  <si>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</si>
  <si>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</si>
  <si>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</si>
  <si>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</si>
  <si>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</si>
  <si>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</si>
  <si>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</si>
  <si>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</si>
  <si>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</si>
  <si>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</si>
  <si>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</si>
  <si>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</si>
  <si>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</si>
  <si>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</si>
  <si>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</si>
  <si>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</si>
  <si>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</si>
  <si>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</si>
  <si>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</si>
  <si>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</si>
  <si>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</si>
  <si>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</si>
  <si>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</si>
  <si>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</si>
  <si>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</si>
  <si>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</si>
  <si>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</si>
  <si>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</si>
  <si>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</si>
  <si>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</si>
  <si>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</si>
  <si>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</si>
  <si>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</si>
  <si>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</si>
  <si>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</si>
  <si>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</si>
  <si>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</si>
  <si>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</si>
  <si>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</si>
  <si>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</si>
  <si>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</si>
  <si>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</si>
  <si>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</si>
  <si>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</si>
  <si>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</si>
  <si>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</si>
  <si>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</si>
  <si>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</si>
  <si>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</si>
  <si>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</si>
  <si>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</si>
  <si>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</si>
  <si>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</si>
  <si>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</si>
  <si>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</si>
  <si>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</si>
  <si>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</si>
  <si>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</si>
  <si>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</si>
  <si>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</si>
  <si>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</si>
  <si>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</si>
  <si>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</si>
  <si>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</si>
  <si>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</si>
  <si>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</si>
  <si>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</si>
  <si>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</si>
  <si>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</si>
  <si>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</si>
  <si>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</si>
  <si>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</si>
  <si>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</si>
  <si>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</si>
  <si>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</si>
  <si>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</si>
  <si>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</si>
  <si>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</si>
  <si>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</si>
  <si>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</si>
  <si>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</si>
  <si>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</si>
  <si>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</si>
  <si>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</si>
  <si>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</si>
  <si>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</si>
  <si>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</si>
  <si>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</si>
  <si>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</si>
  <si>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</si>
  <si>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</si>
  <si>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</si>
  <si>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</si>
  <si>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</si>
  <si>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</si>
  <si>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</si>
  <si>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</si>
  <si>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</si>
  <si>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</si>
  <si>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</si>
  <si>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</si>
  <si>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</si>
  <si>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</si>
  <si>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</si>
  <si>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</si>
  <si>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</si>
  <si>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</si>
  <si>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</si>
  <si>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</si>
  <si>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</si>
  <si>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</si>
  <si>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</si>
  <si>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</si>
  <si>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</si>
  <si>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</si>
  <si>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</si>
  <si>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</si>
  <si>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</si>
  <si>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</si>
  <si>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</si>
  <si>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</si>
  <si>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</si>
  <si>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</si>
  <si>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</si>
  <si>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</si>
  <si>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</si>
  <si>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</si>
  <si>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</si>
  <si>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</si>
  <si>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</si>
  <si>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</si>
  <si>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</si>
  <si>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</si>
  <si>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</si>
  <si>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</si>
  <si>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</si>
  <si>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</si>
  <si>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</si>
  <si>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</si>
  <si>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</si>
  <si>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</si>
  <si>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</si>
  <si>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</si>
  <si>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</si>
  <si>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</si>
  <si>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</si>
  <si>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</si>
  <si>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</si>
  <si>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</si>
  <si>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</si>
  <si>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</si>
  <si>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</si>
  <si>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</si>
  <si>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</si>
  <si>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</si>
  <si>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</si>
  <si>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</si>
  <si>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</si>
  <si>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</si>
  <si>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</si>
  <si>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</si>
  <si>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</si>
  <si>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</si>
  <si>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</si>
  <si>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</si>
  <si>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</si>
  <si>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</si>
  <si>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</si>
  <si>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</si>
  <si>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</si>
  <si>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</si>
  <si>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</si>
  <si>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</si>
  <si>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</si>
  <si>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</si>
  <si>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</si>
  <si>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</si>
  <si>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</si>
  <si>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</si>
  <si>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</si>
  <si>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</si>
  <si>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</si>
  <si>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</si>
  <si>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</si>
  <si>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</si>
  <si>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</si>
  <si>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</si>
  <si>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</si>
  <si>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</si>
  <si>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</si>
  <si>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</si>
  <si>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</si>
  <si>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</si>
  <si>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</si>
  <si>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</si>
  <si>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</si>
  <si>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</si>
  <si>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</si>
  <si>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</si>
  <si>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</si>
  <si>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</si>
  <si>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</si>
  <si>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</si>
  <si>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</si>
  <si>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</si>
  <si>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</si>
  <si>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</si>
  <si>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</si>
  <si>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</si>
  <si>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</si>
  <si>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</si>
  <si>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</si>
  <si>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</si>
  <si>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</si>
  <si>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</si>
  <si>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</si>
  <si>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</si>
  <si>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</si>
  <si>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</si>
  <si>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</si>
  <si>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</si>
  <si>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</si>
  <si>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</si>
  <si>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</si>
  <si>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</si>
  <si>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</si>
  <si>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</si>
  <si>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</si>
  <si>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</si>
  <si>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</si>
  <si>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</si>
  <si>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</si>
  <si>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</si>
  <si>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</si>
  <si>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</si>
  <si>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</si>
  <si>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</si>
  <si>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</si>
  <si>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</si>
  <si>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</si>
  <si>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</si>
  <si>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</si>
  <si>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</si>
  <si>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</si>
  <si>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</si>
  <si>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</si>
  <si>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</si>
  <si>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</si>
  <si>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</si>
  <si>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</si>
  <si>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</si>
  <si>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</si>
  <si>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</si>
  <si>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</si>
  <si>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</si>
  <si>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</si>
  <si>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</si>
  <si>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</si>
  <si>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</si>
  <si>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</si>
  <si>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</si>
  <si>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</si>
  <si>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</si>
  <si>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</si>
  <si>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</si>
  <si>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</si>
  <si>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</si>
  <si>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</si>
  <si>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</si>
  <si>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</si>
  <si>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</si>
  <si>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</si>
  <si>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</si>
  <si>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</si>
  <si>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</si>
  <si>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</si>
  <si>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</si>
  <si>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</si>
  <si>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</si>
  <si>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</si>
  <si>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</si>
  <si>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</si>
  <si>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</si>
  <si>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</si>
  <si>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</si>
  <si>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</si>
  <si>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</si>
  <si>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</si>
  <si>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</si>
  <si>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</si>
  <si>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</si>
  <si>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</si>
  <si>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</si>
  <si>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</si>
  <si>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</si>
  <si>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</si>
  <si>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</si>
  <si>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</si>
  <si>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</si>
  <si>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</si>
  <si>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</si>
  <si>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</si>
  <si>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</si>
  <si>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</si>
  <si>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</si>
  <si>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</si>
  <si>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</si>
  <si>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</si>
  <si>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</si>
  <si>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</si>
  <si>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</si>
  <si>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</si>
  <si>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</si>
  <si>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</si>
  <si>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</si>
  <si>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</si>
  <si>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</si>
  <si>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</si>
  <si>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</si>
  <si>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</si>
  <si>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</si>
  <si>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</si>
  <si>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</si>
  <si>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</si>
  <si>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</si>
  <si>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</si>
  <si>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</si>
  <si>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</si>
  <si>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</si>
  <si>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</si>
  <si>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</si>
  <si>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</si>
  <si>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</si>
  <si>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</si>
  <si>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</si>
  <si>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</si>
  <si>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</si>
  <si>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</si>
  <si>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</si>
  <si>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</si>
  <si>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</si>
  <si>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</si>
  <si>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</si>
  <si>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</si>
  <si>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</si>
  <si>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</si>
  <si>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</si>
  <si>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</si>
  <si>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</si>
  <si>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</si>
  <si>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</si>
  <si>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</si>
  <si>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</si>
  <si>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</si>
  <si>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</si>
  <si>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</si>
  <si>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</si>
  <si>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</si>
  <si>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</si>
  <si>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</si>
  <si>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</si>
  <si>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</si>
  <si>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</si>
  <si>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</si>
  <si>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</si>
  <si>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</si>
  <si>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</si>
  <si>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</si>
  <si>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</si>
  <si>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</si>
  <si>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</si>
  <si>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</si>
  <si>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</si>
  <si>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</si>
  <si>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</si>
  <si>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</si>
  <si>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</si>
  <si>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</si>
  <si>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</si>
  <si>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</si>
  <si>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</si>
  <si>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</si>
  <si>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</si>
  <si>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</si>
  <si>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</si>
  <si>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</si>
  <si>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</si>
  <si>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</si>
  <si>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</si>
  <si>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</si>
  <si>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</si>
  <si>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</si>
  <si>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</si>
  <si>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</si>
  <si>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</si>
  <si>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</si>
  <si>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</si>
  <si>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</si>
  <si>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</si>
  <si>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</si>
  <si>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</si>
  <si>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</si>
  <si>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</si>
  <si>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</si>
  <si>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</si>
  <si>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</si>
  <si>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</si>
  <si>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</si>
  <si>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</si>
  <si>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</si>
  <si>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</si>
  <si>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</si>
  <si>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</si>
  <si>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</si>
  <si>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</si>
  <si>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</si>
  <si>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</si>
  <si>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</si>
  <si>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</si>
  <si>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</si>
  <si>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</si>
  <si>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</si>
  <si>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</si>
  <si>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</si>
  <si>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</si>
  <si>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</si>
  <si>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</si>
  <si>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</si>
  <si>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</si>
  <si>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</si>
  <si>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</si>
  <si>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</si>
  <si>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</si>
  <si>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</si>
  <si>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</si>
  <si>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</si>
  <si>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</si>
  <si>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</si>
  <si>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</si>
  <si>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</si>
  <si>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</si>
  <si>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</si>
  <si>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</si>
  <si>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</si>
  <si>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</si>
  <si>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</si>
  <si>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</si>
  <si>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</si>
  <si>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</si>
  <si>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</si>
  <si>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</si>
  <si>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</si>
  <si>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</si>
  <si>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</si>
  <si>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</si>
  <si>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</si>
  <si>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</si>
  <si>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</si>
  <si>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</si>
  <si>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</si>
  <si>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</si>
  <si>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</si>
  <si>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</si>
  <si>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</si>
  <si>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</si>
  <si>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</si>
  <si>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</si>
  <si>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</si>
  <si>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</si>
  <si>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</si>
  <si>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</si>
  <si>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</si>
  <si>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</si>
  <si>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</si>
  <si>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</si>
  <si>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</si>
  <si>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</si>
  <si>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</si>
  <si>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</si>
  <si>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</si>
  <si>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</si>
  <si>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</si>
  <si>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</si>
  <si>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</si>
  <si>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</si>
  <si>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</si>
  <si>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</si>
  <si>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</si>
  <si>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</si>
  <si>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</si>
  <si>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</si>
  <si>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</si>
  <si>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</si>
  <si>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</si>
  <si>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</si>
  <si>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</si>
  <si>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</si>
  <si>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</si>
  <si>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</si>
  <si>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</si>
  <si>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</si>
  <si>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</si>
  <si>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</si>
  <si>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</si>
  <si>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</si>
  <si>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</si>
  <si>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</si>
  <si>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</si>
  <si>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</si>
  <si>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</si>
  <si>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</si>
  <si>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</si>
  <si>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</si>
  <si>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</si>
  <si>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</si>
  <si>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</si>
  <si>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</si>
  <si>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</si>
  <si>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</si>
  <si>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</si>
  <si>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</si>
  <si>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</si>
  <si>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</si>
  <si>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</si>
  <si>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</si>
  <si>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</si>
  <si>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</si>
  <si>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</si>
  <si>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</si>
  <si>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</si>
  <si>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</si>
  <si>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</si>
  <si>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</si>
  <si>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</si>
  <si>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</si>
  <si>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</si>
  <si>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</si>
  <si>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</si>
  <si>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</si>
  <si>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</si>
  <si>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</si>
  <si>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</si>
  <si>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</si>
  <si>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</si>
  <si>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</si>
  <si>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</si>
  <si>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</si>
  <si>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</si>
  <si>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</si>
  <si>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</si>
  <si>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</si>
  <si>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</si>
  <si>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</si>
  <si>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</si>
  <si>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</si>
  <si>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</si>
  <si>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</si>
  <si>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</si>
  <si>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</si>
  <si>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</si>
  <si>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</si>
  <si>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</si>
  <si>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</si>
  <si>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</si>
  <si>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</si>
  <si>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</si>
  <si>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</si>
  <si>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</si>
  <si>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</si>
  <si>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</si>
  <si>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</si>
  <si>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</si>
  <si>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</si>
  <si>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</si>
  <si>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</si>
  <si>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</si>
  <si>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</si>
  <si>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</si>
  <si>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</si>
  <si>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</si>
  <si>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</si>
  <si>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</si>
  <si>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</si>
  <si>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</si>
  <si>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</si>
  <si>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</si>
  <si>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</si>
  <si>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</si>
  <si>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</si>
  <si>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</si>
  <si>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</si>
  <si>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</si>
  <si>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</si>
  <si>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</si>
  <si>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</si>
  <si>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</si>
  <si>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</si>
  <si>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</si>
  <si>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</si>
  <si>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</si>
  <si>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</si>
  <si>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</si>
  <si>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</si>
  <si>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</si>
  <si>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</si>
  <si>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</si>
  <si>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</si>
  <si>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</si>
  <si>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</si>
  <si>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</si>
  <si>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</si>
  <si>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</si>
  <si>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</si>
  <si>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</si>
  <si>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</si>
  <si>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</si>
  <si>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</si>
  <si>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</si>
  <si>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</si>
  <si>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</si>
  <si>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</si>
  <si>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</si>
  <si>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</si>
  <si>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</si>
  <si>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</si>
  <si>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</si>
  <si>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</si>
  <si>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</si>
  <si>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</si>
  <si>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</si>
  <si>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</si>
  <si>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</si>
  <si>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</si>
  <si>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</si>
  <si>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</si>
  <si>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</si>
  <si>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</si>
  <si>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</si>
  <si>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</si>
  <si>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</si>
  <si>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</si>
  <si>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</si>
  <si>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</si>
  <si>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</si>
  <si>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</si>
  <si>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</si>
  <si>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</si>
  <si>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</si>
  <si>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</si>
  <si>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</si>
  <si>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</si>
  <si>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</si>
  <si>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</si>
  <si>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</si>
  <si>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</si>
  <si>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</si>
  <si>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</si>
  <si>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</si>
  <si>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</si>
  <si>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</si>
  <si>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</si>
  <si>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</si>
  <si>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</si>
  <si>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</si>
  <si>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</si>
  <si>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</si>
  <si>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</si>
  <si>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</si>
  <si>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</si>
  <si>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</si>
  <si>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</si>
  <si>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</si>
  <si>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</si>
  <si>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</si>
  <si>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</si>
  <si>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</si>
  <si>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</si>
  <si>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</si>
  <si>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</si>
  <si>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</si>
  <si>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</si>
  <si>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</si>
  <si>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</si>
  <si>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</si>
  <si>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</si>
  <si>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</si>
  <si>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</si>
  <si>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</si>
  <si>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</si>
  <si>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</si>
  <si>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</si>
  <si>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</si>
  <si>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</si>
  <si>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</si>
  <si>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</si>
  <si>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</si>
  <si>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</si>
  <si>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</si>
  <si>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</si>
  <si>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</si>
  <si>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</si>
  <si>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</si>
  <si>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</si>
  <si>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</si>
  <si>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</si>
  <si>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</si>
  <si>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</si>
  <si>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</si>
  <si>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</si>
  <si>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</si>
  <si>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</si>
  <si>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</si>
  <si>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</si>
  <si>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</si>
  <si>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</si>
  <si>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</si>
  <si>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</si>
  <si>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</si>
  <si>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</si>
  <si>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</si>
  <si>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</si>
  <si>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</si>
  <si>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</si>
  <si>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</si>
  <si>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</si>
  <si>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</si>
  <si>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</si>
  <si>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</si>
  <si>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</si>
  <si>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</si>
  <si>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</si>
  <si>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</si>
  <si>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</si>
  <si>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</si>
  <si>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</si>
  <si>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</si>
  <si>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</si>
  <si>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</si>
  <si>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</si>
  <si>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</si>
  <si>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</si>
  <si>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</si>
  <si>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</si>
  <si>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</si>
  <si>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</si>
  <si>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</si>
  <si>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</si>
  <si>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</si>
  <si>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</si>
  <si>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</si>
  <si>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</si>
  <si>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</si>
  <si>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</si>
  <si>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</si>
  <si>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</si>
  <si>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</si>
  <si>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</si>
  <si>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</si>
  <si>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</si>
  <si>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</si>
  <si>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</si>
  <si>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</si>
  <si>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</si>
  <si>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</si>
  <si>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</si>
  <si>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</si>
  <si>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</si>
  <si>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</si>
  <si>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</si>
  <si>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</si>
  <si>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</si>
  <si>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</si>
  <si>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</si>
  <si>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</si>
  <si>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</si>
  <si>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</si>
  <si>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</si>
  <si>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</si>
  <si>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</si>
  <si>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</si>
  <si>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</si>
  <si>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</si>
  <si>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</si>
  <si>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</si>
  <si>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</si>
  <si>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</si>
  <si>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</si>
  <si>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</si>
  <si>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</si>
  <si>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</si>
  <si>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</si>
  <si>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</si>
  <si>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</si>
  <si>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</si>
  <si>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</si>
  <si>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</si>
  <si>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</si>
  <si>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</si>
  <si>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</si>
  <si>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</si>
  <si>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</si>
  <si>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</si>
  <si>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</si>
  <si>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</si>
  <si>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</si>
  <si>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</si>
  <si>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</si>
  <si>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</si>
  <si>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</si>
  <si>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</si>
  <si>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</si>
  <si>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</si>
  <si>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</si>
  <si>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</si>
  <si>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</si>
  <si>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</si>
  <si>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</si>
  <si>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</si>
  <si>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</si>
  <si>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</si>
  <si>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</si>
  <si>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</si>
  <si>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</si>
  <si>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</si>
  <si>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</si>
  <si>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</si>
  <si>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</si>
  <si>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</si>
  <si>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</si>
  <si>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</si>
  <si>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</si>
  <si>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</si>
  <si>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</si>
  <si>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</si>
  <si>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</si>
  <si>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</si>
  <si>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</si>
  <si>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</si>
  <si>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</si>
  <si>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</si>
  <si>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</si>
  <si>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</si>
  <si>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</si>
  <si>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</si>
  <si>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</si>
  <si>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</si>
  <si>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</si>
  <si>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</si>
  <si>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</si>
  <si>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</si>
  <si>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</si>
  <si>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</si>
  <si>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</si>
  <si>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</si>
  <si>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</si>
  <si>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</si>
  <si>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</si>
  <si>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</si>
  <si>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</si>
  <si>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</si>
  <si>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</si>
  <si>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</si>
  <si>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</si>
  <si>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</si>
  <si>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</si>
  <si>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</si>
  <si>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</si>
  <si>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</si>
  <si>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</si>
  <si>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</si>
  <si>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</si>
  <si>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</si>
  <si>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</si>
  <si>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</si>
  <si>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</si>
  <si>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</si>
  <si>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</si>
  <si>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</si>
  <si>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</si>
  <si>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</si>
  <si>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</si>
  <si>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</si>
  <si>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</si>
  <si>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</si>
  <si>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</si>
  <si>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</si>
  <si>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</si>
  <si>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</si>
  <si>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</si>
  <si>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</si>
  <si>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</si>
  <si>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</si>
  <si>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</si>
  <si>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</si>
  <si>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</si>
  <si>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</si>
  <si>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</si>
  <si>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</si>
  <si>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</si>
  <si>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</si>
  <si>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</si>
  <si>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</si>
  <si>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</si>
  <si>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</si>
  <si>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</si>
  <si>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</si>
  <si>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</si>
  <si>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</si>
  <si>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</si>
  <si>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</si>
  <si>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</si>
  <si>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</si>
  <si>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</si>
  <si>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</si>
  <si>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</si>
  <si>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</si>
  <si>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</si>
  <si>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</si>
  <si>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</si>
  <si>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</si>
  <si>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</si>
  <si>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</si>
  <si>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</si>
  <si>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</si>
  <si>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</si>
  <si>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</si>
  <si>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</si>
  <si>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</si>
  <si>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</si>
  <si>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</si>
  <si>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</si>
  <si>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</si>
  <si>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</si>
  <si>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</si>
  <si>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</si>
  <si>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</si>
  <si>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</si>
  <si>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</si>
  <si>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</si>
  <si>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</si>
  <si>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</si>
  <si>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</si>
  <si>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</si>
  <si>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</si>
  <si>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</si>
  <si>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</si>
  <si>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</si>
  <si>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</si>
  <si>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</si>
  <si>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</si>
  <si>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</si>
  <si>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</si>
  <si>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</si>
  <si>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</si>
  <si>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</si>
  <si>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</si>
  <si>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</si>
  <si>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</si>
  <si>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</si>
  <si>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</si>
  <si>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</si>
  <si>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</si>
  <si>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</si>
  <si>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</si>
  <si>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</si>
  <si>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</si>
  <si>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</si>
  <si>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</si>
  <si>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</si>
  <si>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</si>
  <si>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</si>
  <si>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</si>
  <si>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</si>
  <si>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</si>
  <si>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</si>
  <si>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</si>
  <si>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</si>
  <si>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</si>
  <si>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</si>
  <si>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</si>
  <si>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</si>
  <si>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</si>
  <si>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</si>
  <si>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</si>
  <si>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</si>
  <si>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</si>
  <si>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</si>
  <si>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</si>
  <si>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</si>
  <si>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</si>
  <si>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</si>
  <si>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</si>
  <si>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</si>
  <si>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</si>
  <si>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</si>
  <si>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</si>
  <si>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</si>
  <si>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</si>
  <si>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</si>
  <si>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</si>
  <si>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</si>
  <si>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</si>
  <si>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</si>
  <si>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</si>
  <si>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</si>
  <si>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</si>
  <si>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</si>
  <si>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</si>
  <si>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</si>
  <si>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</si>
  <si>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</si>
  <si>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</si>
  <si>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</si>
  <si>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</si>
  <si>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</si>
  <si>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</si>
  <si>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</si>
  <si>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</si>
  <si>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</si>
  <si>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</si>
  <si>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</si>
  <si>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</si>
  <si>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</si>
  <si>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</si>
  <si>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</si>
  <si>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</si>
  <si>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</si>
  <si>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</si>
  <si>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</si>
  <si>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</si>
  <si>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</si>
  <si>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</si>
  <si>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</si>
  <si>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</si>
  <si>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</si>
  <si>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</si>
  <si>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</si>
  <si>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</si>
  <si>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</si>
  <si>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</si>
  <si>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</si>
  <si>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</si>
  <si>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</si>
  <si>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</si>
  <si>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</si>
  <si>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</si>
  <si>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</si>
  <si>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</si>
  <si>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</si>
  <si>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</si>
  <si>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</si>
  <si>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</si>
  <si>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</si>
  <si>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</si>
  <si>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</si>
  <si>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</si>
  <si>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</si>
  <si>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</si>
  <si>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</si>
  <si>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</si>
  <si>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</si>
  <si>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</si>
  <si>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</si>
  <si>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</si>
  <si>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</si>
  <si>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</si>
  <si>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</si>
  <si>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</si>
  <si>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</si>
  <si>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</si>
  <si>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</si>
  <si>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</si>
  <si>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</si>
  <si>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</si>
  <si>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</si>
  <si>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</si>
  <si>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</si>
  <si>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</si>
  <si>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</si>
  <si>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</si>
  <si>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</si>
  <si>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</si>
  <si>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</si>
  <si>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</si>
  <si>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</si>
  <si>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</si>
  <si>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</si>
  <si>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</si>
  <si>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</si>
  <si>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</si>
  <si>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</si>
  <si>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</si>
  <si>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</si>
  <si>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</si>
  <si>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</si>
  <si>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</si>
  <si>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</si>
  <si>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</si>
  <si>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</si>
  <si>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</si>
  <si>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</si>
  <si>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</si>
  <si>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</si>
  <si>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</si>
  <si>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</si>
  <si>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</si>
  <si>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</si>
  <si>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</si>
  <si>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</si>
  <si>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</si>
  <si>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</si>
  <si>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</si>
  <si>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</si>
  <si>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</si>
  <si>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</si>
  <si>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</si>
  <si>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</si>
  <si>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</si>
  <si>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</si>
  <si>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</si>
  <si>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</si>
  <si>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</si>
  <si>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</si>
  <si>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</si>
  <si>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</si>
  <si>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</si>
  <si>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</si>
  <si>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</si>
  <si>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</si>
  <si>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</si>
  <si>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</si>
  <si>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</si>
  <si>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</si>
  <si>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</si>
  <si>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</si>
  <si>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</si>
  <si>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</si>
  <si>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</si>
  <si>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</si>
  <si>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</si>
  <si>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</si>
  <si>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</si>
  <si>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</si>
  <si>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</si>
  <si>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</si>
  <si>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</si>
  <si>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</si>
  <si>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</si>
  <si>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</si>
  <si>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</si>
  <si>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</si>
  <si>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</si>
  <si>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</si>
  <si>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</si>
  <si>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</si>
  <si>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</si>
  <si>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</si>
  <si>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</si>
  <si>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</si>
  <si>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</si>
  <si>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</si>
  <si>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</si>
  <si>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</si>
  <si>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</si>
  <si>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</si>
  <si>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</si>
  <si>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</si>
  <si>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</si>
  <si>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</si>
  <si>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</si>
  <si>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</si>
  <si>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</si>
  <si>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</si>
  <si>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</si>
  <si>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</si>
  <si>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</si>
  <si>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</si>
  <si>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</si>
  <si>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</si>
  <si>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</si>
  <si>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</si>
  <si>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</si>
  <si>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</si>
  <si>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</si>
  <si>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</si>
  <si>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</si>
  <si>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</si>
  <si>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</si>
  <si>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</si>
  <si>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</si>
  <si>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</si>
  <si>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</si>
  <si>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</si>
  <si>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</si>
  <si>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</si>
  <si>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</si>
  <si>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</si>
  <si>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</si>
  <si>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</si>
  <si>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</si>
  <si>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</si>
  <si>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</si>
  <si>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</si>
  <si>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</si>
  <si>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</si>
  <si>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</si>
  <si>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</si>
  <si>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</si>
  <si>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</si>
  <si>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</si>
  <si>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</si>
  <si>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</si>
  <si>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</si>
  <si>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</si>
  <si>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</si>
  <si>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</si>
  <si>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</si>
  <si>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</si>
  <si>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</si>
  <si>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</si>
  <si>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</si>
  <si>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</si>
  <si>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</si>
  <si>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</si>
  <si>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</si>
  <si>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</si>
  <si>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</si>
  <si>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</si>
  <si>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</si>
  <si>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</si>
  <si>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</si>
  <si>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</si>
  <si>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</si>
  <si>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</si>
  <si>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</si>
  <si>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</si>
  <si>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</si>
  <si>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</si>
  <si>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</si>
  <si>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</si>
  <si>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</si>
  <si>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</si>
  <si>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</si>
  <si>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</si>
  <si>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</si>
  <si>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</si>
  <si>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</si>
  <si>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</si>
  <si>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</si>
  <si>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</si>
  <si>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</si>
  <si>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</si>
  <si>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</si>
  <si>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</si>
  <si>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</si>
  <si>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</si>
  <si>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</si>
  <si>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</si>
  <si>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</si>
  <si>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</si>
  <si>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</si>
  <si>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</si>
  <si>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</si>
  <si>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</si>
  <si>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</si>
  <si>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</si>
  <si>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</si>
  <si>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</si>
  <si>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</si>
  <si>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</si>
  <si>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</si>
  <si>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</si>
  <si>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</si>
  <si>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</si>
  <si>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</si>
  <si>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</si>
  <si>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</si>
  <si>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</si>
  <si>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</si>
  <si>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</si>
  <si>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</si>
  <si>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</si>
  <si>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</si>
  <si>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</si>
  <si>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</si>
  <si>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</si>
  <si>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</si>
  <si>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</si>
  <si>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</si>
  <si>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</si>
  <si>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</si>
  <si>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</si>
  <si>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</si>
  <si>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</si>
  <si>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</si>
  <si>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</si>
  <si>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</si>
  <si>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</si>
  <si>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</si>
  <si>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</si>
  <si>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</si>
  <si>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</si>
  <si>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</si>
  <si>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</si>
  <si>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</si>
  <si>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</si>
  <si>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</si>
  <si>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</si>
  <si>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</si>
  <si>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</si>
  <si>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</si>
  <si>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</si>
  <si>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</si>
  <si>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</si>
  <si>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</si>
  <si>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</si>
  <si>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</si>
  <si>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</si>
  <si>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</si>
  <si>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</si>
  <si>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</si>
  <si>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</si>
  <si>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</si>
  <si>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</si>
  <si>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</si>
  <si>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</si>
  <si>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</si>
  <si>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</si>
  <si>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</si>
  <si>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</si>
  <si>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</si>
  <si>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</si>
  <si>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</si>
  <si>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</si>
  <si>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</si>
  <si>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</si>
  <si>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</si>
  <si>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</si>
  <si>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</si>
  <si>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</si>
  <si>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</si>
  <si>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</si>
  <si>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</si>
  <si>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</si>
  <si>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</si>
  <si>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</si>
  <si>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</si>
  <si>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</si>
  <si>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</si>
  <si>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</si>
  <si>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</si>
  <si>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</si>
  <si>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</si>
  <si>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</si>
  <si>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</si>
  <si>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</si>
  <si>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</si>
  <si>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</si>
  <si>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</si>
  <si>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</si>
  <si>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</si>
  <si>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</si>
  <si>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</si>
  <si>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</si>
  <si>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</si>
  <si>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</si>
  <si>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</si>
  <si>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</si>
  <si>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</si>
  <si>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</si>
  <si>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</si>
  <si>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</si>
  <si>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</si>
  <si>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</si>
  <si>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</si>
  <si>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</si>
  <si>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</si>
  <si>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</si>
  <si>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</si>
  <si>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</si>
  <si>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</si>
  <si>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</si>
  <si>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</si>
  <si>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</si>
  <si>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</si>
  <si>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</si>
  <si>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</si>
  <si>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</si>
  <si>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</si>
  <si>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</si>
  <si>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</si>
  <si>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</si>
  <si>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</si>
  <si>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</si>
  <si>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</si>
  <si>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</si>
  <si>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</si>
  <si>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</si>
  <si>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</si>
  <si>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</si>
  <si>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</si>
  <si>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</si>
  <si>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</si>
  <si>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</si>
  <si>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</si>
  <si>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</si>
  <si>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</si>
  <si>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</si>
  <si>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</si>
  <si>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</si>
  <si>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</si>
  <si>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</si>
  <si>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</si>
  <si>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</si>
  <si>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</si>
  <si>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</si>
  <si>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</si>
  <si>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</si>
  <si>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</si>
  <si>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</si>
  <si>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</si>
  <si>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</si>
  <si>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</si>
  <si>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</si>
  <si>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</si>
  <si>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</si>
  <si>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</si>
  <si>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</si>
  <si>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</si>
  <si>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</si>
  <si>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</si>
  <si>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</si>
  <si>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</si>
  <si>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</si>
  <si>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</si>
  <si>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</si>
  <si>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</si>
  <si>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</si>
  <si>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</si>
  <si>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</si>
  <si>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</si>
  <si>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</si>
  <si>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</si>
  <si>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</si>
  <si>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</si>
  <si>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</si>
  <si>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</si>
  <si>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</si>
  <si>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</si>
  <si>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</si>
  <si>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</si>
  <si>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</si>
  <si>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</si>
  <si>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</si>
  <si>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</si>
  <si>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</si>
  <si>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</si>
  <si>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</si>
  <si>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</si>
  <si>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</si>
  <si>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</si>
  <si>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</si>
  <si>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</si>
  <si>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</si>
  <si>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</si>
  <si>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</si>
  <si>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</si>
  <si>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</si>
  <si>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</si>
  <si>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</si>
  <si>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</si>
  <si>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</si>
  <si>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</si>
  <si>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</si>
  <si>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</si>
  <si>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</si>
  <si>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</si>
  <si>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</si>
  <si>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</si>
  <si>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</si>
  <si>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</si>
  <si>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</si>
  <si>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</si>
  <si>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</si>
  <si>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</si>
  <si>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</si>
  <si>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</si>
  <si>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</si>
  <si>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</si>
  <si>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</si>
  <si>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</si>
  <si>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</si>
  <si>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</si>
  <si>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</si>
  <si>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</si>
  <si>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</si>
  <si>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</si>
  <si>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</si>
  <si>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</si>
  <si>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</si>
  <si>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</si>
  <si>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</si>
  <si>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</si>
  <si>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</si>
  <si>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</si>
  <si>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</si>
  <si>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</si>
  <si>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</si>
  <si>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</si>
  <si>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</si>
  <si>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</si>
  <si>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</si>
  <si>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</si>
  <si>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</si>
  <si>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</si>
  <si>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</si>
  <si>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</si>
  <si>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</si>
  <si>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</si>
  <si>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</si>
  <si>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</si>
  <si>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</si>
  <si>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</si>
  <si>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</si>
  <si>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</si>
  <si>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</si>
  <si>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</si>
  <si>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</si>
  <si>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</si>
  <si>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</si>
  <si>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</si>
  <si>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</si>
  <si>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</si>
  <si>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</si>
  <si>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</si>
  <si>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</si>
  <si>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</si>
  <si>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</si>
  <si>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</si>
  <si>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</si>
  <si>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</si>
  <si>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</si>
  <si>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</si>
  <si>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</si>
  <si>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</si>
  <si>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</si>
  <si>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</si>
  <si>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</si>
  <si>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</si>
  <si>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</si>
  <si>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</si>
  <si>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</si>
  <si>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</si>
  <si>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</si>
  <si>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</si>
  <si>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</si>
  <si>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</si>
  <si>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</si>
  <si>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</si>
  <si>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</si>
  <si>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</si>
  <si>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</si>
  <si>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</si>
  <si>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</si>
  <si>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</si>
  <si>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</si>
  <si>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</si>
  <si>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</si>
  <si>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</si>
  <si>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</si>
  <si>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</si>
  <si>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</si>
  <si>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</si>
  <si>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</si>
  <si>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</si>
  <si>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</si>
  <si>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</si>
  <si>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</si>
  <si>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</si>
  <si>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</si>
  <si>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</si>
  <si>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</si>
  <si>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</si>
  <si>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</si>
  <si>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</si>
  <si>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</si>
  <si>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</si>
  <si>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</si>
  <si>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</si>
  <si>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</si>
  <si>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</si>
  <si>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</si>
  <si>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</si>
  <si>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</si>
  <si>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</si>
  <si>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</si>
  <si>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</si>
  <si>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</si>
  <si>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</si>
  <si>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</si>
  <si>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</si>
  <si>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</si>
  <si>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</si>
  <si>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</si>
  <si>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</si>
  <si>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</si>
  <si>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</si>
  <si>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</si>
  <si>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</si>
  <si>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</si>
  <si>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</si>
  <si>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</si>
  <si>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</si>
  <si>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</si>
  <si>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</si>
  <si>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</si>
  <si>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</si>
  <si>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</si>
  <si>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</si>
  <si>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</si>
  <si>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</si>
  <si>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</si>
  <si>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</si>
  <si>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</si>
  <si>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</si>
  <si>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</si>
  <si>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</si>
  <si>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</si>
  <si>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</si>
  <si>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</si>
  <si>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</si>
  <si>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</si>
  <si>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</si>
  <si>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</si>
  <si>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</si>
  <si>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</si>
  <si>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</si>
  <si>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</si>
  <si>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</si>
  <si>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</si>
  <si>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</si>
  <si>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</si>
  <si>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</si>
  <si>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</si>
  <si>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</si>
  <si>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</si>
  <si>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</si>
  <si>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</si>
  <si>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</si>
  <si>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</si>
  <si>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</si>
  <si>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</si>
  <si>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</si>
  <si>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</si>
  <si>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</si>
  <si>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</si>
  <si>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</si>
  <si>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</si>
  <si>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</si>
  <si>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</si>
  <si>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</si>
  <si>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</si>
  <si>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</si>
  <si>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</si>
  <si>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</si>
  <si>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</si>
  <si>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</si>
  <si>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</si>
  <si>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</si>
  <si>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</si>
  <si>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</si>
  <si>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</si>
  <si>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</si>
  <si>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</si>
  <si>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</si>
  <si>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</si>
  <si>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</si>
  <si>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</si>
  <si>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</si>
  <si>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</si>
  <si>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</si>
  <si>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</si>
  <si>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</si>
  <si>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</si>
  <si>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</si>
  <si>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</si>
  <si>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</si>
  <si>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</si>
  <si>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</si>
  <si>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</si>
  <si>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</si>
  <si>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</si>
  <si>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</si>
  <si>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</si>
  <si>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</si>
  <si>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</si>
  <si>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</si>
  <si>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</si>
  <si>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</si>
  <si>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</si>
  <si>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</si>
  <si>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</si>
  <si>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</si>
  <si>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</si>
  <si>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</si>
  <si>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</si>
  <si>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</si>
  <si>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</si>
  <si>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</si>
  <si>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</si>
  <si>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</si>
  <si>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</si>
  <si>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</si>
  <si>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</si>
  <si>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</si>
  <si>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</si>
  <si>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</si>
  <si>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</si>
  <si>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</si>
  <si>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</si>
  <si>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</si>
  <si>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</si>
  <si>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</si>
  <si>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</si>
  <si>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</si>
  <si>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</si>
  <si>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</si>
  <si>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</si>
  <si>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</si>
  <si>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</si>
  <si>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</si>
  <si>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</si>
  <si>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</si>
  <si>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</si>
  <si>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</si>
  <si>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</si>
  <si>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</si>
  <si>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</si>
  <si>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</si>
  <si>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</si>
  <si>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</si>
  <si>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</si>
  <si>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</si>
  <si>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</si>
  <si>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</si>
  <si>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</si>
  <si>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</si>
  <si>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</si>
  <si>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</si>
  <si>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</si>
  <si>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</si>
  <si>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</si>
  <si>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</si>
  <si>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</si>
  <si>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</si>
  <si>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</si>
  <si>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</si>
  <si>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</si>
  <si>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</si>
  <si>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</si>
  <si>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</si>
  <si>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</si>
  <si>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</si>
  <si>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</si>
  <si>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</si>
  <si>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</si>
  <si>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</si>
  <si>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</si>
  <si>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</si>
  <si>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</si>
  <si>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</si>
  <si>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</si>
  <si>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</si>
  <si>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</si>
  <si>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</si>
  <si>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</si>
  <si>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</si>
  <si>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</si>
  <si>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</si>
  <si>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</si>
  <si>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</si>
  <si>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</si>
  <si>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</si>
  <si>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</si>
  <si>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</si>
  <si>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</si>
  <si>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</si>
  <si>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</si>
  <si>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</si>
  <si>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</si>
  <si>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</si>
  <si>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</si>
  <si>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</si>
  <si>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</si>
  <si>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</si>
  <si>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</si>
  <si>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</si>
  <si>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</si>
  <si>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</si>
  <si>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</si>
  <si>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</si>
  <si>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</si>
  <si>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</si>
  <si>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</si>
  <si>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</si>
  <si>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</si>
  <si>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</si>
  <si>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</si>
  <si>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</si>
  <si>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</si>
  <si>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</si>
  <si>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</si>
  <si>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</si>
  <si>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</si>
  <si>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</si>
  <si>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</si>
  <si>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</si>
  <si>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</si>
  <si>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</si>
  <si>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</si>
  <si>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</si>
  <si>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</si>
  <si>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</si>
  <si>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</si>
  <si>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</si>
  <si>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</si>
  <si>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</si>
  <si>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</si>
  <si>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</si>
  <si>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</si>
  <si>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</si>
  <si>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</si>
  <si>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</si>
  <si>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</si>
  <si>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</si>
  <si>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</si>
  <si>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</si>
  <si>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</si>
  <si>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</si>
  <si>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</si>
  <si>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</si>
  <si>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</si>
  <si>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</si>
  <si>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</si>
  <si>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</si>
  <si>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</si>
  <si>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</si>
  <si>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</si>
  <si>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</si>
  <si>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</si>
  <si>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</si>
  <si>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</si>
  <si>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</si>
  <si>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</si>
  <si>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</si>
  <si>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</si>
  <si>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</si>
  <si>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</si>
  <si>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</si>
  <si>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</si>
  <si>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</si>
  <si>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</si>
  <si>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</si>
  <si>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</si>
  <si>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</si>
  <si>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</si>
  <si>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</si>
  <si>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</si>
  <si>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</si>
  <si>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</si>
  <si>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</si>
  <si>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</si>
  <si>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</si>
  <si>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</si>
  <si>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</si>
  <si>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</si>
  <si>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</si>
  <si>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</si>
  <si>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</si>
  <si>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</si>
  <si>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</si>
  <si>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</si>
  <si>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</si>
  <si>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</si>
  <si>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</si>
  <si>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</si>
  <si>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</si>
  <si>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</si>
  <si>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</si>
  <si>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</si>
  <si>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</si>
  <si>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</si>
  <si>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</si>
  <si>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</si>
  <si>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</si>
  <si>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</si>
  <si>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</si>
  <si>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</si>
  <si>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</si>
  <si>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</si>
  <si>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</si>
  <si>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</si>
  <si>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</si>
  <si>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</si>
  <si>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</si>
  <si>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</si>
  <si>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</si>
  <si>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</si>
  <si>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</si>
  <si>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</si>
  <si>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</si>
  <si>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</si>
  <si>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</si>
  <si>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</si>
  <si>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</si>
  <si>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</si>
  <si>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</si>
  <si>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</si>
  <si>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</si>
  <si>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</si>
  <si>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</si>
  <si>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</si>
  <si>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</si>
  <si>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</si>
  <si>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</si>
  <si>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</si>
  <si>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</si>
  <si>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</si>
  <si>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</si>
  <si>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</si>
  <si>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</si>
  <si>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</si>
  <si>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</si>
  <si>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</si>
  <si>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</si>
  <si>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</si>
  <si>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</si>
  <si>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</si>
  <si>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</si>
  <si>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</si>
  <si>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</si>
  <si>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</si>
  <si>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</si>
  <si>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</si>
  <si>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</si>
  <si>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</si>
  <si>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</si>
  <si>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</si>
  <si>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</si>
  <si>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</si>
  <si>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</si>
  <si>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</si>
  <si>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</si>
  <si>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</si>
  <si>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</si>
  <si>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</si>
  <si>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</si>
  <si>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</si>
  <si>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</si>
  <si>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</si>
  <si>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</si>
  <si>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</si>
  <si>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</si>
  <si>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</si>
  <si>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</si>
  <si>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</si>
  <si>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</si>
  <si>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</si>
  <si>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</si>
  <si>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</si>
  <si>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</si>
  <si>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</si>
  <si>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</si>
  <si>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</si>
  <si>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</si>
  <si>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</si>
  <si>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</si>
  <si>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</si>
  <si>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</si>
  <si>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</si>
  <si>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</si>
  <si>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</si>
  <si>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</si>
  <si>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</si>
  <si>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</si>
  <si>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</si>
  <si>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</si>
  <si>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</si>
  <si>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</si>
  <si>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</si>
  <si>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</si>
  <si>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</si>
  <si>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</si>
  <si>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</si>
  <si>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</si>
  <si>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</si>
  <si>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</si>
  <si>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</si>
  <si>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</si>
  <si>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</si>
  <si>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</si>
  <si>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</si>
  <si>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</si>
  <si>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</si>
  <si>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</si>
  <si>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</si>
  <si>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</si>
  <si>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</si>
  <si>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</si>
  <si>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</si>
  <si>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</si>
  <si>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</si>
  <si>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</si>
  <si>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</si>
  <si>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</si>
  <si>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</si>
  <si>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</si>
  <si>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</si>
  <si>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</si>
  <si>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</si>
  <si>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</si>
  <si>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</si>
  <si>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</si>
  <si>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</si>
  <si>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</si>
  <si>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</si>
  <si>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</si>
  <si>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</si>
  <si>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</si>
  <si>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</si>
  <si>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</si>
  <si>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</si>
  <si>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</si>
  <si>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</si>
  <si>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</si>
  <si>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</si>
  <si>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</si>
  <si>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</si>
  <si>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</si>
  <si>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</si>
  <si>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</si>
  <si>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</si>
  <si>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</si>
  <si>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</si>
  <si>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</si>
  <si>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</si>
  <si>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</si>
  <si>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</si>
  <si>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</si>
  <si>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</si>
  <si>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</si>
  <si>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</si>
  <si>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</si>
  <si>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</si>
  <si>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</si>
  <si>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</si>
  <si>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</si>
  <si>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</si>
  <si>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</si>
  <si>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</si>
  <si>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</si>
  <si>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</si>
  <si>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</si>
  <si>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</si>
  <si>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</si>
  <si>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</si>
  <si>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</si>
  <si>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</si>
  <si>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</si>
  <si>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</si>
  <si>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</si>
  <si>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</si>
  <si>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</si>
  <si>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</si>
  <si>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</si>
  <si>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</si>
  <si>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</si>
  <si>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</si>
  <si>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</si>
  <si>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</si>
  <si>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</si>
  <si>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</si>
  <si>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</si>
  <si>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</si>
  <si>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</si>
  <si>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</si>
  <si>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</si>
  <si>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</si>
  <si>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</si>
  <si>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</si>
  <si>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</si>
  <si>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</si>
  <si>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</si>
  <si>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</si>
  <si>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</si>
  <si>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</si>
  <si>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</si>
  <si>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</si>
  <si>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</si>
  <si>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</si>
  <si>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</si>
  <si>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</si>
  <si>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</si>
  <si>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</si>
  <si>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</si>
  <si>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</si>
  <si>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</si>
  <si>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</si>
  <si>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</si>
  <si>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</si>
  <si>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</si>
  <si>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</si>
  <si>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</si>
  <si>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</si>
  <si>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</si>
  <si>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</si>
  <si>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</si>
  <si>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</si>
  <si>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</si>
  <si>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</si>
  <si>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</si>
  <si>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</si>
  <si>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</si>
  <si>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</si>
  <si>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</si>
  <si>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</si>
  <si>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</si>
  <si>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</si>
  <si>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</si>
  <si>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</si>
  <si>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</si>
  <si>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</si>
  <si>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</si>
  <si>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</si>
  <si>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</si>
  <si>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</si>
  <si>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</si>
  <si>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</si>
  <si>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</si>
  <si>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</si>
  <si>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</si>
  <si>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</si>
  <si>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</si>
  <si>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</si>
  <si>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</si>
  <si>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</si>
  <si>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</si>
  <si>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</si>
  <si>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</si>
  <si>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</si>
  <si>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</si>
  <si>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</si>
  <si>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</si>
  <si>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</si>
  <si>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</si>
  <si>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</si>
  <si>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</si>
  <si>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</si>
  <si>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</si>
  <si>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</si>
  <si>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</si>
  <si>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</si>
  <si>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</si>
  <si>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</si>
  <si>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</si>
  <si>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</si>
  <si>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</si>
  <si>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</si>
  <si>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</si>
  <si>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</si>
  <si>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</si>
  <si>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</si>
  <si>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</si>
  <si>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</si>
  <si>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</si>
  <si>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</si>
  <si>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</si>
  <si>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</si>
  <si>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</si>
  <si>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</si>
  <si>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</si>
  <si>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</si>
  <si>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</si>
  <si>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</si>
  <si>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</si>
  <si>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</si>
  <si>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</si>
  <si>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</si>
  <si>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</si>
  <si>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</si>
  <si>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</si>
  <si>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</si>
  <si>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</si>
  <si>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</si>
  <si>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</si>
  <si>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</si>
  <si>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</si>
  <si>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</si>
  <si>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</si>
  <si>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</si>
  <si>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</si>
  <si>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</si>
  <si>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</si>
  <si>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</si>
  <si>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</si>
  <si>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</si>
  <si>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</si>
  <si>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</si>
  <si>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</si>
  <si>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</si>
  <si>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</si>
  <si>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</si>
  <si>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</si>
  <si>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</si>
  <si>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</si>
  <si>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</si>
  <si>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</si>
  <si>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</si>
  <si>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</si>
  <si>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</si>
  <si>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</si>
  <si>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</si>
  <si>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</si>
  <si>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</si>
  <si>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</si>
  <si>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</si>
  <si>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</si>
  <si>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</si>
  <si>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</si>
  <si>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</si>
  <si>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</si>
  <si>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</si>
  <si>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</si>
  <si>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</si>
  <si>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</si>
  <si>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</si>
  <si>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</si>
  <si>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</si>
  <si>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</si>
  <si>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</si>
  <si>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</si>
  <si>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</si>
  <si>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</si>
  <si>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</si>
  <si>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</si>
  <si>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</si>
  <si>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</si>
  <si>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</si>
  <si>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</si>
  <si>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</si>
  <si>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</si>
  <si>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</si>
  <si>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</si>
  <si>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</si>
  <si>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</si>
  <si>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</si>
  <si>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</si>
  <si>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</si>
  <si>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</si>
  <si>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</si>
  <si>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</si>
  <si>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</si>
  <si>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</si>
  <si>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</si>
  <si>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</si>
  <si>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</si>
  <si>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</si>
  <si>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</si>
  <si>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</si>
  <si>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</si>
  <si>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</si>
  <si>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</si>
  <si>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</si>
  <si>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</si>
  <si>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</si>
  <si>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</si>
  <si>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</si>
  <si>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</si>
  <si>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</si>
  <si>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</si>
  <si>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</si>
  <si>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</si>
  <si>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</si>
  <si>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</si>
  <si>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</si>
  <si>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</si>
  <si>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</si>
  <si>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</si>
  <si>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</si>
  <si>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</si>
  <si>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</si>
  <si>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</si>
  <si>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</si>
  <si>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</si>
  <si>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</si>
  <si>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</si>
  <si>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</si>
  <si>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</si>
  <si>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</si>
  <si>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</si>
  <si>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</si>
  <si>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</si>
  <si>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</si>
  <si>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</si>
  <si>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</si>
  <si>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</si>
  <si>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</si>
  <si>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</si>
  <si>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</si>
  <si>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</si>
  <si>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</si>
  <si>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</si>
  <si>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</si>
  <si>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</si>
  <si>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</si>
  <si>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</si>
  <si>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</si>
  <si>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</si>
  <si>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</si>
  <si>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</si>
  <si>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</si>
  <si>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</si>
  <si>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</si>
  <si>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</si>
  <si>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</si>
  <si>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</si>
  <si>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</si>
  <si>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</si>
  <si>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</si>
  <si>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</si>
  <si>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</si>
  <si>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</si>
  <si>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</si>
  <si>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</si>
  <si>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</si>
  <si>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</si>
  <si>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</si>
  <si>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</si>
  <si>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</si>
  <si>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</si>
  <si>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</si>
  <si>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</si>
  <si>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</si>
  <si>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</si>
  <si>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</si>
  <si>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</si>
  <si>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</si>
  <si>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</si>
  <si>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</si>
  <si>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</si>
  <si>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</si>
  <si>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</si>
  <si>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</si>
  <si>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</si>
  <si>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</si>
  <si>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</si>
  <si>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</si>
  <si>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</si>
  <si>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</si>
  <si>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</si>
  <si>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</si>
  <si>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</si>
  <si>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</si>
  <si>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</si>
  <si>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</si>
  <si>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</si>
  <si>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</si>
  <si>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</si>
  <si>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</si>
  <si>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</si>
  <si>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</si>
  <si>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</si>
  <si>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</si>
  <si>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</si>
  <si>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</si>
  <si>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</si>
  <si>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</si>
  <si>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</si>
  <si>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</si>
  <si>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</si>
  <si>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</si>
  <si>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</si>
  <si>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</si>
  <si>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</si>
  <si>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</si>
  <si>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</si>
  <si>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</si>
  <si>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</si>
  <si>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</si>
  <si>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</si>
  <si>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</si>
  <si>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</si>
  <si>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</si>
  <si>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</si>
  <si>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</si>
  <si>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</si>
  <si>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</si>
  <si>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</si>
  <si>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</si>
  <si>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</si>
  <si>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</si>
  <si>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</si>
  <si>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</si>
  <si>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</si>
  <si>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</si>
  <si>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</si>
  <si>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</si>
  <si>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</si>
  <si>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</si>
  <si>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</si>
  <si>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</si>
  <si>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</si>
  <si>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</si>
  <si>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</si>
  <si>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</si>
  <si>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</si>
  <si>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</si>
  <si>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</si>
  <si>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</si>
  <si>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</si>
  <si>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</si>
  <si>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</si>
  <si>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</si>
  <si>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</si>
  <si>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</si>
  <si>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</si>
  <si>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</si>
  <si>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</si>
  <si>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</si>
  <si>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</si>
  <si>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</si>
  <si>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</si>
  <si>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</si>
  <si>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</si>
  <si>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</si>
  <si>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</si>
  <si>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</si>
  <si>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</si>
  <si>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</si>
  <si>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</si>
  <si>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</si>
  <si>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</si>
  <si>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</si>
  <si>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</si>
  <si>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</si>
  <si>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</si>
  <si>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</si>
  <si>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</si>
  <si>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</si>
  <si>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</si>
  <si>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</si>
  <si>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</si>
  <si>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</si>
  <si>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</si>
  <si>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</si>
  <si>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</si>
  <si>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</si>
  <si>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</si>
  <si>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</si>
  <si>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</si>
  <si>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</si>
  <si>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</si>
  <si>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</si>
  <si>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</si>
  <si>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</si>
  <si>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</si>
  <si>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</si>
  <si>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</si>
  <si>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</si>
  <si>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</si>
  <si>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</si>
  <si>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</si>
  <si>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</si>
  <si>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</si>
  <si>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</si>
  <si>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</si>
  <si>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</si>
  <si>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</si>
  <si>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</si>
  <si>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</si>
  <si>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</si>
  <si>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</si>
  <si>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</si>
  <si>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</si>
  <si>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</si>
  <si>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</si>
  <si>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</si>
  <si>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</si>
  <si>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</si>
  <si>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</si>
  <si>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</si>
  <si>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</si>
  <si>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</si>
  <si>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</si>
  <si>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</si>
  <si>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</si>
  <si>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</si>
  <si>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</si>
  <si>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</si>
  <si>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</si>
  <si>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</si>
  <si>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</si>
  <si>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</si>
  <si>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</si>
  <si>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</si>
  <si>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</si>
  <si>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</si>
  <si>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</si>
  <si>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</si>
  <si>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</si>
  <si>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</si>
  <si>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</si>
  <si>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</si>
  <si>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</si>
  <si>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</si>
  <si>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</si>
  <si>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</si>
  <si>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</si>
  <si>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</si>
  <si>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</si>
  <si>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</si>
  <si>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</si>
  <si>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</si>
  <si>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</si>
  <si>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</si>
  <si>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</si>
  <si>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</si>
  <si>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</si>
  <si>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</si>
  <si>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</si>
  <si>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</si>
  <si>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</si>
  <si>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</si>
  <si>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</si>
  <si>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</si>
  <si>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</si>
  <si>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</si>
  <si>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</si>
  <si>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</si>
  <si>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</si>
  <si>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</si>
  <si>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</si>
  <si>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</si>
  <si>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</si>
  <si>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</si>
  <si>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</si>
  <si>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</si>
  <si>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</si>
  <si>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</si>
  <si>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</si>
  <si>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</si>
  <si>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</si>
  <si>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</si>
  <si>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</si>
  <si>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</si>
  <si>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</si>
  <si>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</si>
  <si>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</si>
  <si>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</si>
  <si>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</si>
  <si>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</si>
  <si>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</si>
  <si>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</si>
  <si>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</si>
  <si>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</si>
  <si>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</si>
  <si>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</si>
  <si>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</si>
  <si>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</si>
  <si>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</si>
  <si>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</si>
  <si>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</si>
  <si>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</si>
  <si>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</si>
  <si>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</si>
  <si>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</si>
  <si>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</si>
  <si>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</si>
  <si>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</si>
  <si>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</si>
  <si>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</si>
  <si>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</si>
  <si>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</si>
  <si>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</si>
  <si>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</si>
  <si>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</si>
  <si>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</si>
  <si>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</si>
  <si>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</si>
  <si>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</si>
  <si>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</si>
  <si>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</si>
  <si>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</si>
  <si>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</si>
  <si>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</si>
  <si>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</si>
  <si>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</si>
  <si>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</si>
  <si>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</si>
  <si>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</si>
  <si>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</si>
  <si>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</si>
  <si>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</si>
  <si>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</si>
  <si>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</si>
  <si>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</si>
  <si>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</si>
  <si>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</si>
  <si>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</si>
  <si>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</si>
  <si>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</si>
  <si>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</si>
  <si>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</si>
  <si>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</si>
  <si>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</si>
  <si>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</si>
  <si>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</si>
  <si>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</si>
  <si>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</si>
  <si>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</si>
  <si>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</si>
  <si>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</si>
  <si>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</si>
  <si>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</si>
  <si>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</si>
  <si>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</si>
  <si>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</si>
  <si>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</si>
  <si>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</si>
  <si>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</si>
  <si>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</si>
  <si>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</si>
  <si>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</si>
  <si>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</si>
  <si>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</si>
  <si>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</si>
  <si>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</si>
  <si>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</si>
  <si>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</si>
  <si>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</si>
  <si>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</si>
  <si>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</si>
  <si>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</si>
  <si>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</si>
  <si>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</si>
  <si>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</si>
  <si>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</si>
  <si>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</si>
  <si>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</si>
  <si>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</si>
  <si>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</si>
  <si>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</si>
  <si>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</si>
  <si>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</si>
  <si>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</si>
  <si>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</si>
  <si>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</si>
  <si>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</si>
  <si>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</si>
  <si>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</si>
  <si>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</si>
  <si>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</si>
  <si>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</si>
  <si>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</si>
  <si>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</si>
  <si>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</si>
  <si>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</si>
  <si>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</si>
  <si>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</si>
  <si>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</si>
  <si>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</si>
  <si>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</si>
  <si>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</si>
  <si>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</si>
  <si>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</si>
  <si>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</si>
  <si>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</si>
  <si>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</si>
  <si>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</si>
  <si>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</si>
  <si>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</si>
  <si>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</si>
  <si>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</si>
  <si>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</si>
  <si>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</si>
  <si>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</si>
  <si>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</si>
  <si>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</si>
  <si>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</si>
  <si>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</si>
  <si>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</si>
  <si>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</si>
  <si>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</si>
  <si>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</si>
  <si>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</si>
  <si>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</si>
  <si>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</si>
  <si>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</si>
  <si>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</si>
  <si>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</si>
  <si>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</si>
  <si>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</si>
  <si>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</si>
  <si>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</si>
  <si>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</si>
  <si>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</si>
  <si>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</si>
  <si>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</si>
  <si>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</si>
  <si>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</si>
  <si>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</si>
  <si>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</si>
  <si>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</si>
  <si>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</si>
  <si>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</si>
  <si>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</si>
  <si>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</si>
  <si>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</si>
  <si>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</si>
  <si>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</si>
  <si>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</si>
  <si>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</si>
  <si>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</si>
  <si>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</si>
  <si>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</si>
  <si>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</si>
  <si>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</si>
  <si>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</si>
  <si>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</si>
  <si>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</si>
  <si>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</si>
  <si>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</si>
  <si>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</si>
  <si>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</si>
  <si>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</si>
  <si>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</si>
  <si>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</si>
  <si>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</si>
  <si>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</si>
  <si>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</si>
  <si>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</si>
  <si>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</si>
  <si>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</si>
  <si>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</si>
  <si>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</si>
  <si>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</si>
  <si>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</si>
  <si>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</si>
  <si>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</si>
  <si>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</si>
  <si>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</si>
  <si>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</si>
  <si>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</si>
  <si>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</si>
  <si>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</si>
  <si>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</si>
  <si>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</si>
  <si>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</si>
  <si>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</si>
  <si>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</si>
  <si>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</si>
  <si>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</si>
  <si>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</si>
  <si>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</si>
  <si>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</si>
  <si>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</si>
  <si>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</si>
  <si>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</si>
  <si>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</si>
  <si>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</si>
  <si>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</si>
  <si>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</si>
  <si>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</si>
  <si>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</si>
  <si>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</si>
  <si>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</si>
  <si>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</si>
  <si>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</si>
  <si>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</si>
  <si>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</si>
  <si>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</si>
  <si>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</si>
  <si>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</si>
  <si>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</si>
  <si>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</si>
  <si>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</si>
  <si>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</si>
  <si>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</si>
  <si>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</si>
  <si>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</si>
  <si>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</si>
  <si>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</si>
  <si>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</si>
  <si>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</si>
  <si>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</si>
  <si>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</si>
  <si>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</si>
  <si>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</si>
  <si>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</si>
  <si>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</si>
  <si>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</si>
  <si>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</si>
  <si>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</si>
  <si>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</si>
  <si>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</si>
  <si>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</si>
  <si>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</si>
  <si>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</si>
  <si>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</si>
  <si>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</si>
  <si>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</si>
  <si>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</si>
  <si>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</si>
  <si>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</si>
  <si>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</si>
  <si>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</si>
  <si>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</si>
  <si>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</si>
  <si>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</si>
  <si>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</si>
  <si>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</si>
  <si>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</si>
  <si>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</si>
  <si>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</si>
  <si>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</si>
  <si>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</si>
  <si>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</si>
  <si>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</si>
  <si>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</si>
  <si>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</si>
  <si>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</si>
  <si>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</si>
  <si>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</si>
  <si>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</si>
  <si>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</si>
  <si>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</si>
  <si>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</si>
  <si>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</si>
  <si>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</si>
  <si>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</si>
  <si>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</si>
  <si>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</si>
  <si>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</si>
  <si>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</si>
  <si>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</si>
  <si>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</si>
  <si>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</si>
  <si>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</si>
  <si>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</si>
  <si>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</si>
  <si>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</si>
  <si>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</si>
  <si>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</si>
  <si>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</si>
  <si>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</si>
  <si>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</si>
  <si>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</si>
  <si>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</si>
  <si>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</si>
  <si>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</si>
  <si>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</si>
  <si>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</si>
  <si>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</si>
  <si>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</si>
  <si>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</si>
  <si>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</si>
  <si>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</si>
  <si>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</si>
  <si>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</si>
  <si>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</si>
  <si>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</si>
  <si>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</si>
  <si>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</si>
  <si>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</si>
  <si>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</si>
  <si>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</si>
  <si>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</si>
  <si>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</si>
  <si>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</si>
  <si>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</si>
  <si>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</si>
  <si>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</si>
  <si>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</si>
  <si>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</si>
  <si>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</si>
  <si>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</si>
  <si>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</si>
  <si>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</si>
  <si>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</si>
  <si>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</si>
  <si>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</si>
  <si>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</si>
  <si>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</si>
  <si>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</si>
  <si>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</si>
  <si>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</si>
  <si>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</si>
  <si>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</si>
  <si>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</si>
  <si>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</si>
  <si>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</si>
  <si>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</si>
  <si>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</si>
  <si>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</si>
  <si>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</si>
  <si>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</si>
  <si>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</si>
  <si>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</si>
  <si>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</si>
  <si>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</si>
  <si>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</si>
  <si>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</si>
  <si>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</si>
  <si>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</si>
  <si>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</si>
  <si>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</si>
  <si>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</si>
  <si>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</si>
  <si>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</si>
  <si>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</si>
  <si>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</si>
  <si>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</si>
  <si>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</si>
  <si>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</si>
  <si>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</si>
  <si>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</si>
  <si>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</si>
  <si>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</si>
  <si>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</si>
  <si>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</si>
  <si>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</si>
  <si>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</si>
  <si>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</si>
  <si>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</si>
  <si>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</si>
  <si>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</si>
  <si>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</si>
  <si>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</si>
  <si>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</si>
  <si>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</si>
  <si>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</si>
  <si>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</si>
  <si>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</si>
  <si>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</si>
  <si>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</si>
  <si>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</si>
  <si>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</si>
  <si>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</si>
  <si>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</si>
  <si>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</si>
  <si>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</si>
  <si>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</si>
  <si>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</si>
  <si>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</si>
  <si>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</si>
  <si>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</si>
  <si>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</si>
  <si>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</si>
  <si>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</si>
  <si>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</si>
  <si>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</si>
  <si>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</si>
  <si>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</si>
  <si>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</si>
  <si>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</si>
  <si>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</si>
  <si>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</si>
  <si>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</si>
  <si>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</si>
  <si>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</si>
  <si>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</si>
  <si>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</si>
  <si>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</si>
  <si>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</si>
  <si>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</si>
  <si>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</si>
  <si>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</si>
  <si>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</si>
  <si>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</si>
  <si>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</si>
  <si>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</si>
  <si>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</si>
  <si>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</si>
  <si>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</si>
  <si>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</si>
  <si>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</si>
  <si>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</si>
  <si>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</si>
  <si>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</si>
  <si>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</si>
  <si>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</si>
  <si>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</si>
  <si>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</si>
  <si>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</si>
  <si>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</si>
  <si>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</si>
  <si>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</si>
  <si>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</si>
  <si>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</si>
  <si>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</si>
  <si>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</si>
  <si>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</si>
  <si>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</si>
  <si>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</si>
  <si>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</si>
  <si>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</si>
  <si>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</si>
  <si>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</si>
  <si>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</si>
  <si>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</si>
  <si>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</si>
  <si>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</si>
  <si>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</si>
  <si>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</si>
  <si>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</si>
  <si>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</si>
  <si>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</si>
  <si>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</si>
  <si>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</si>
  <si>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</si>
  <si>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</si>
  <si>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</si>
  <si>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</si>
  <si>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</si>
  <si>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</si>
  <si>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</si>
  <si>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</si>
  <si>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</si>
  <si>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</si>
  <si>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</si>
  <si>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</si>
  <si>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</si>
  <si>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</si>
  <si>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</si>
  <si>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</si>
  <si>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</si>
  <si>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</si>
  <si>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</si>
  <si>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</si>
  <si>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</si>
  <si>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</si>
  <si>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</si>
  <si>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</si>
  <si>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</si>
  <si>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</si>
  <si>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</si>
  <si>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</si>
  <si>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</si>
  <si>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</si>
  <si>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</si>
  <si>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</si>
  <si>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</si>
  <si>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</si>
  <si>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</si>
  <si>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</si>
  <si>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</si>
  <si>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</si>
  <si>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</si>
  <si>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</si>
  <si>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</si>
  <si>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</si>
  <si>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</si>
  <si>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</si>
  <si>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</si>
  <si>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</si>
  <si>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</si>
  <si>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</si>
  <si>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</si>
  <si>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</si>
  <si>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</si>
  <si>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</si>
  <si>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</si>
  <si>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</si>
  <si>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</si>
  <si>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</si>
  <si>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</si>
  <si>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</si>
  <si>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</si>
  <si>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</si>
  <si>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</si>
  <si>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</si>
  <si>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</si>
  <si>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</si>
  <si>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</si>
  <si>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</si>
  <si>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</si>
  <si>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</si>
  <si>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</si>
  <si>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</si>
  <si>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</si>
  <si>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</si>
  <si>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</si>
  <si>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</si>
  <si>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</si>
  <si>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</si>
  <si>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</si>
  <si>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</si>
  <si>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</si>
  <si>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</si>
  <si>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</si>
  <si>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</si>
  <si>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</si>
  <si>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</si>
  <si>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</si>
  <si>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</si>
  <si>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</si>
  <si>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</si>
  <si>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</si>
  <si>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</si>
  <si>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</si>
  <si>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</si>
  <si>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</si>
  <si>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</si>
  <si>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</si>
  <si>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</si>
  <si>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</si>
  <si>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</si>
  <si>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</si>
  <si>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</si>
  <si>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</si>
  <si>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</si>
  <si>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</si>
  <si>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</si>
  <si>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</si>
  <si>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</si>
  <si>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</si>
  <si>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</si>
  <si>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</si>
  <si>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</si>
  <si>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</si>
  <si>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</si>
  <si>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</si>
  <si>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</si>
  <si>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</si>
  <si>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</si>
  <si>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</si>
  <si>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</si>
  <si>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</si>
  <si>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</si>
  <si>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</si>
  <si>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</si>
  <si>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</si>
  <si>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</si>
  <si>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</si>
  <si>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</si>
  <si>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</si>
  <si>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</si>
  <si>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</si>
  <si>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</si>
  <si>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</si>
  <si>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</si>
  <si>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</si>
  <si>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</si>
  <si>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</si>
  <si>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</si>
  <si>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</si>
  <si>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</si>
  <si>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</si>
  <si>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</si>
  <si>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</si>
  <si>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</si>
  <si>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</si>
  <si>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</si>
  <si>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</si>
  <si>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</si>
  <si>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</si>
  <si>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</si>
  <si>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</si>
  <si>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</si>
  <si>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</si>
  <si>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</si>
  <si>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</si>
  <si>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</si>
  <si>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</si>
  <si>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</si>
  <si>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</si>
  <si>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</si>
  <si>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</si>
  <si>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</si>
  <si>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</si>
  <si>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</si>
  <si>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</si>
  <si>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</si>
  <si>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</si>
  <si>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</si>
  <si>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</si>
  <si>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</si>
  <si>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</si>
  <si>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</si>
  <si>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</si>
  <si>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</si>
  <si>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</si>
  <si>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</si>
  <si>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</si>
  <si>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</si>
  <si>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</si>
  <si>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</si>
  <si>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</si>
  <si>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</si>
  <si>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</si>
  <si>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</si>
  <si>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</si>
  <si>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</si>
  <si>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</si>
  <si>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</si>
  <si>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</si>
  <si>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</si>
  <si>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</si>
  <si>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</si>
  <si>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</si>
  <si>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</si>
  <si>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</si>
  <si>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</si>
  <si>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</si>
  <si>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</si>
  <si>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</si>
  <si>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</si>
  <si>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</si>
  <si>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</si>
  <si>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</si>
  <si>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</si>
  <si>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</si>
  <si>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</si>
  <si>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</si>
  <si>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</si>
  <si>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</si>
  <si>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</si>
  <si>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</si>
  <si>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</si>
  <si>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</si>
  <si>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</si>
  <si>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</si>
  <si>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</si>
  <si>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</si>
  <si>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</si>
  <si>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</si>
  <si>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</si>
  <si>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</si>
  <si>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</si>
  <si>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</si>
  <si>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</si>
  <si>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</si>
  <si>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</si>
  <si>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</si>
  <si>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</si>
  <si>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</si>
  <si>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</si>
  <si>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</si>
  <si>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</si>
  <si>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</si>
  <si>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</si>
  <si>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</si>
  <si>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</si>
  <si>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</si>
  <si>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</si>
  <si>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</si>
  <si>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</si>
  <si>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</si>
  <si>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</si>
  <si>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</si>
  <si>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</si>
  <si>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</si>
  <si>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</si>
  <si>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</si>
  <si>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</si>
  <si>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</si>
  <si>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</si>
  <si>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</si>
  <si>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</si>
  <si>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</si>
  <si>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</si>
  <si>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</si>
  <si>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</si>
  <si>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</si>
  <si>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</si>
  <si>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</si>
  <si>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</si>
  <si>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</si>
  <si>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</si>
  <si>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</si>
  <si>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</si>
  <si>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</si>
  <si>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</si>
  <si>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</si>
  <si>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</si>
  <si>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</si>
  <si>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</si>
  <si>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</si>
  <si>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</si>
  <si>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</si>
  <si>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</si>
  <si>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</si>
  <si>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</si>
  <si>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</si>
  <si>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</si>
  <si>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</si>
  <si>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</si>
  <si>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</si>
  <si>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</si>
  <si>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</si>
  <si>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</si>
  <si>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</si>
  <si>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</si>
  <si>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</si>
  <si>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</si>
  <si>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</si>
  <si>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</si>
  <si>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</si>
  <si>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</si>
  <si>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</si>
  <si>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</si>
  <si>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</si>
  <si>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</si>
  <si>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</si>
  <si>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</si>
  <si>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</si>
  <si>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</si>
  <si>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</si>
  <si>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</si>
  <si>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</si>
  <si>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</si>
  <si>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</si>
  <si>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</si>
  <si>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</si>
  <si>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</si>
  <si>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</si>
  <si>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</si>
  <si>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</si>
  <si>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</si>
  <si>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</si>
  <si>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</si>
  <si>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</si>
  <si>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</si>
  <si>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</si>
  <si>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</si>
  <si>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</si>
  <si>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</si>
  <si>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</si>
  <si>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</si>
  <si>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</si>
  <si>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</si>
  <si>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</si>
  <si>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</si>
  <si>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</si>
  <si>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</si>
  <si>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</si>
  <si>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</si>
  <si>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</si>
  <si>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</si>
  <si>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</si>
  <si>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</si>
  <si>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</si>
  <si>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</si>
  <si>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</si>
  <si>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</si>
  <si>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</si>
  <si>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</si>
  <si>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</si>
  <si>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</si>
  <si>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</si>
  <si>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</si>
  <si>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</si>
  <si>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</si>
  <si>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</si>
  <si>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</si>
  <si>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</si>
  <si>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</si>
  <si>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</si>
  <si>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</si>
  <si>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</si>
  <si>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</si>
  <si>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</si>
  <si>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</si>
  <si>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</si>
  <si>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</si>
  <si>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</si>
  <si>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</si>
  <si>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</si>
  <si>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</si>
  <si>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</si>
  <si>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</si>
  <si>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</si>
  <si>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</si>
  <si>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</si>
  <si>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</si>
  <si>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</si>
  <si>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</si>
  <si>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</si>
  <si>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</si>
  <si>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</si>
  <si>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</si>
  <si>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</si>
  <si>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</si>
  <si>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</si>
  <si>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</si>
  <si>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</si>
  <si>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</si>
  <si>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</si>
  <si>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</si>
  <si>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</si>
  <si>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</si>
  <si>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</si>
  <si>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</si>
  <si>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</si>
  <si>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</si>
  <si>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</si>
  <si>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</si>
  <si>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</si>
  <si>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</si>
  <si>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</si>
  <si>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</si>
  <si>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</si>
  <si>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</si>
  <si>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</si>
  <si>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</si>
  <si>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</si>
  <si>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</si>
  <si>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</si>
  <si>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</si>
  <si>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</si>
  <si>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</si>
  <si>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</si>
  <si>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</si>
  <si>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</si>
  <si>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</si>
  <si>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</si>
  <si>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</si>
  <si>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</si>
  <si>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</si>
  <si>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</si>
  <si>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</si>
  <si>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</si>
  <si>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</si>
  <si>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</si>
  <si>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</si>
  <si>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</si>
  <si>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</si>
  <si>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</si>
  <si>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</si>
  <si>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</si>
  <si>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</si>
  <si>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</si>
  <si>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</si>
  <si>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</si>
  <si>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</si>
  <si>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</si>
  <si>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</si>
  <si>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</si>
  <si>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</si>
  <si>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</si>
  <si>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</si>
  <si>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</si>
  <si>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</si>
  <si>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</si>
  <si>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</si>
  <si>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</si>
  <si>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</si>
  <si>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</si>
  <si>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</si>
  <si>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</si>
  <si>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</si>
  <si>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</si>
  <si>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</si>
  <si>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</si>
  <si>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</si>
  <si>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</si>
  <si>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</si>
  <si>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</si>
  <si>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</si>
  <si>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</si>
  <si>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</si>
  <si>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</si>
  <si>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</si>
  <si>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</si>
  <si>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</si>
  <si>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</si>
  <si>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</si>
  <si>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</si>
  <si>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</si>
  <si>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</si>
  <si>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</si>
  <si>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</si>
  <si>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</si>
  <si>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</si>
  <si>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</si>
  <si>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</si>
  <si>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</si>
  <si>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</si>
  <si>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</si>
  <si>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</si>
  <si>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</si>
  <si>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</si>
  <si>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</si>
  <si>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</si>
  <si>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</si>
  <si>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</si>
  <si>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</si>
  <si>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</si>
  <si>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</si>
  <si>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</si>
  <si>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</si>
  <si>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</si>
  <si>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</si>
  <si>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</si>
  <si>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</si>
  <si>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</si>
  <si>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</si>
  <si>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</si>
  <si>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</si>
  <si>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</si>
  <si>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</si>
  <si>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</si>
  <si>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</si>
  <si>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</si>
  <si>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</si>
  <si>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</si>
  <si>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</si>
  <si>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</si>
  <si>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</si>
  <si>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</si>
  <si>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</si>
  <si>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</si>
  <si>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</si>
  <si>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</si>
  <si>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</si>
  <si>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</si>
  <si>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</si>
  <si>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</si>
  <si>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</si>
  <si>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</si>
  <si>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</si>
  <si>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</si>
  <si>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</si>
  <si>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</si>
  <si>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</si>
  <si>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</si>
  <si>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</si>
  <si>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</si>
  <si>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</si>
  <si>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</si>
  <si>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</si>
  <si>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</si>
  <si>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</si>
  <si>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</si>
  <si>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</si>
  <si>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</si>
  <si>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</si>
  <si>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</si>
  <si>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</si>
  <si>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</si>
  <si>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</si>
  <si>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</si>
  <si>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</si>
  <si>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</si>
  <si>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</si>
  <si>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</si>
  <si>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</si>
  <si>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</si>
  <si>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</si>
  <si>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</si>
  <si>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</si>
  <si>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</si>
  <si>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</si>
  <si>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</si>
  <si>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</si>
  <si>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</si>
  <si>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</si>
  <si>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</si>
  <si>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</si>
  <si>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</si>
  <si>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</si>
  <si>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</si>
  <si>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</si>
  <si>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</si>
  <si>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</si>
  <si>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</si>
  <si>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</si>
  <si>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</si>
  <si>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</si>
  <si>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</si>
  <si>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</si>
  <si>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</si>
  <si>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</si>
  <si>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</si>
  <si>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</si>
  <si>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</si>
  <si>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</si>
  <si>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</si>
  <si>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</si>
  <si>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</si>
  <si>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</si>
  <si>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</si>
  <si>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</si>
  <si>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</si>
  <si>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</si>
  <si>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</si>
  <si>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</si>
  <si>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</si>
  <si>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</si>
  <si>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</si>
  <si>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</si>
  <si>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</si>
  <si>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</si>
  <si>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</si>
  <si>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</si>
  <si>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</si>
  <si>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</si>
  <si>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</si>
  <si>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</si>
  <si>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</si>
  <si>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</si>
  <si>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</si>
  <si>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</si>
  <si>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</si>
  <si>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</si>
  <si>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</si>
  <si>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</si>
  <si>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</si>
  <si>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</si>
  <si>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</si>
  <si>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</si>
  <si>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</si>
  <si>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</si>
  <si>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</si>
  <si>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</si>
  <si>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</si>
  <si>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</si>
  <si>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</si>
  <si>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</si>
  <si>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</si>
  <si>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</si>
  <si>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</si>
  <si>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</si>
  <si>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</si>
  <si>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</si>
  <si>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</si>
  <si>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</si>
  <si>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</si>
  <si>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</si>
  <si>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</si>
  <si>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</si>
  <si>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</si>
  <si>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</si>
  <si>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</si>
  <si>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</si>
  <si>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</si>
  <si>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</si>
  <si>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</si>
  <si>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</si>
  <si>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</si>
  <si>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</si>
  <si>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</si>
  <si>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</si>
  <si>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</si>
  <si>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</si>
  <si>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</si>
  <si>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</si>
  <si>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</si>
  <si>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</si>
  <si>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</si>
  <si>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</si>
  <si>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</si>
  <si>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</si>
  <si>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</si>
  <si>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</si>
  <si>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</si>
  <si>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</si>
  <si>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</si>
  <si>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</si>
  <si>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</si>
  <si>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</si>
  <si>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</si>
  <si>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</si>
  <si>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</si>
  <si>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</si>
  <si>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</si>
  <si>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</si>
  <si>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</si>
  <si>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</si>
  <si>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</si>
  <si>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</si>
  <si>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</si>
  <si>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</si>
  <si>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</si>
  <si>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</si>
  <si>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</si>
  <si>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</si>
  <si>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</si>
  <si>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</si>
  <si>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</si>
  <si>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</si>
  <si>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</si>
  <si>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</si>
  <si>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</si>
  <si>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</si>
  <si>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</si>
  <si>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</si>
  <si>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</si>
  <si>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</si>
  <si>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</si>
  <si>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</si>
  <si>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</si>
  <si>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</si>
  <si>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</si>
  <si>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</si>
  <si>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</si>
  <si>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</si>
  <si>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</si>
  <si>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</si>
  <si>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</si>
  <si>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</si>
  <si>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</si>
  <si>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</si>
  <si>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</si>
  <si>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</si>
  <si>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</si>
  <si>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</si>
  <si>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</si>
  <si>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</si>
  <si>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</si>
  <si>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</si>
  <si>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</si>
  <si>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</si>
  <si>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</si>
  <si>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</si>
  <si>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</si>
  <si>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</si>
  <si>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</si>
  <si>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</si>
  <si>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</si>
  <si>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</si>
  <si>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</si>
  <si>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</si>
  <si>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</si>
  <si>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</si>
  <si>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</si>
  <si>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</si>
  <si>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</si>
  <si>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</si>
  <si>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</si>
  <si>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</si>
  <si>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</si>
  <si>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</si>
  <si>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</si>
  <si>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</si>
  <si>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</si>
  <si>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</si>
  <si>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</si>
  <si>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</si>
  <si>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</si>
  <si>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</si>
  <si>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</si>
  <si>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</si>
  <si>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</si>
  <si>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</si>
  <si>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</si>
  <si>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</si>
  <si>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</si>
  <si>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</si>
  <si>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</si>
  <si>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</si>
  <si>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</si>
  <si>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</si>
  <si>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</si>
  <si>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</si>
  <si>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</si>
  <si>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</si>
  <si>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</si>
  <si>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</si>
  <si>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</si>
  <si>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</si>
  <si>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</si>
  <si>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</si>
  <si>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</si>
  <si>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</si>
  <si>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</si>
  <si>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</si>
  <si>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</si>
  <si>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</si>
  <si>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</si>
  <si>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</si>
  <si>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</si>
  <si>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</si>
  <si>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</si>
  <si>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</si>
  <si>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</si>
  <si>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</si>
  <si>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</si>
  <si>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</si>
  <si>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</si>
  <si>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</si>
  <si>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</si>
  <si>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</si>
  <si>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</si>
  <si>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</si>
  <si>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</si>
  <si>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</si>
  <si>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</si>
  <si>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</si>
  <si>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</si>
  <si>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</si>
  <si>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</si>
  <si>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</si>
  <si>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</si>
  <si>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</si>
  <si>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</si>
  <si>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</si>
  <si>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</si>
  <si>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</si>
  <si>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</si>
  <si>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</si>
  <si>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</si>
  <si>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</si>
  <si>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</si>
  <si>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</si>
  <si>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</si>
  <si>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</si>
  <si>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</si>
  <si>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</si>
  <si>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</si>
  <si>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</si>
  <si>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</si>
  <si>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</si>
  <si>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</si>
  <si>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</si>
  <si>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</si>
  <si>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</si>
  <si>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</si>
  <si>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</si>
  <si>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</si>
  <si>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</si>
  <si>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</si>
  <si>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</si>
  <si>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</si>
  <si>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</si>
  <si>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</si>
  <si>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</si>
  <si>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</si>
  <si>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</si>
  <si>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</si>
  <si>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</si>
  <si>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</si>
  <si>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</si>
  <si>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</si>
  <si>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</si>
  <si>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</si>
  <si>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</si>
  <si>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</si>
  <si>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</si>
  <si>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</si>
  <si>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</si>
  <si>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</si>
  <si>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</si>
  <si>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</si>
  <si>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</si>
  <si>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</si>
  <si>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</si>
  <si>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</si>
  <si>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</si>
  <si>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</si>
  <si>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</si>
  <si>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</si>
  <si>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</si>
  <si>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</si>
  <si>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</si>
  <si>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</si>
  <si>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</si>
  <si>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</si>
  <si>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</si>
  <si>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</si>
  <si>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</si>
  <si>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</si>
  <si>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</si>
  <si>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</si>
  <si>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</si>
  <si>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</si>
  <si>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</si>
  <si>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</si>
  <si>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</si>
  <si>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</si>
  <si>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</si>
  <si>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</si>
  <si>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</si>
  <si>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</si>
  <si>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</si>
  <si>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</si>
  <si>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</si>
  <si>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</si>
  <si>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</si>
  <si>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</si>
  <si>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</si>
  <si>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</si>
  <si>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</si>
  <si>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</si>
  <si>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</si>
  <si>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</si>
  <si>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</si>
  <si>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</si>
  <si>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</si>
  <si>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</si>
  <si>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</si>
  <si>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</si>
  <si>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</si>
  <si>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</si>
  <si>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</si>
  <si>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</si>
  <si>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</si>
  <si>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</si>
  <si>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</si>
  <si>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</si>
  <si>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</si>
  <si>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</si>
  <si>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</si>
  <si>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</si>
  <si>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</si>
  <si>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</si>
  <si>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</si>
  <si>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</si>
  <si>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</si>
  <si>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</si>
  <si>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</si>
  <si>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</si>
  <si>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</si>
  <si>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</si>
  <si>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</si>
  <si>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</si>
  <si>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</si>
  <si>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</si>
  <si>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</si>
  <si>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</si>
  <si>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</si>
  <si>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</si>
  <si>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</si>
  <si>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</si>
  <si>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</si>
  <si>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</si>
  <si>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</si>
  <si>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</si>
  <si>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</si>
  <si>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</si>
  <si>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</si>
  <si>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</si>
  <si>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</si>
  <si>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</si>
  <si>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</si>
  <si>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</si>
  <si>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</si>
  <si>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</si>
  <si>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</si>
  <si>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</si>
  <si>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</si>
  <si>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</si>
  <si>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</si>
  <si>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</si>
  <si>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</si>
  <si>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</si>
  <si>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</si>
  <si>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</si>
  <si>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</si>
  <si>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</si>
  <si>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</si>
  <si>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</si>
  <si>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</si>
  <si>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</si>
  <si>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</si>
  <si>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</si>
  <si>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</si>
  <si>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</si>
  <si>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</si>
  <si>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</si>
  <si>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</si>
  <si>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</si>
  <si>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</si>
  <si>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</si>
  <si>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</si>
  <si>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</si>
  <si>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</si>
  <si>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</si>
  <si>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</si>
  <si>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</si>
  <si>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</si>
  <si>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</si>
  <si>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</si>
  <si>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</si>
  <si>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</si>
  <si>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</si>
  <si>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</si>
  <si>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</si>
  <si>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</si>
  <si>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</si>
  <si>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</si>
  <si>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</si>
  <si>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</si>
  <si>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</si>
  <si>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</si>
  <si>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</si>
  <si>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</si>
  <si>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</si>
  <si>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</si>
  <si>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</si>
  <si>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</si>
  <si>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</si>
  <si>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</si>
  <si>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</si>
  <si>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</si>
  <si>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</si>
  <si>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</si>
  <si>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</si>
  <si>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</si>
  <si>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</si>
  <si>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</si>
  <si>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</si>
  <si>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</si>
  <si>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</si>
  <si>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</si>
  <si>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</si>
  <si>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</si>
  <si>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</si>
  <si>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</si>
  <si>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</si>
  <si>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</si>
  <si>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</si>
  <si>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</si>
  <si>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</si>
  <si>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</si>
  <si>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</si>
  <si>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</si>
  <si>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</si>
  <si>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</si>
  <si>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</si>
  <si>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</si>
  <si>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</si>
  <si>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</si>
  <si>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</si>
  <si>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</si>
  <si>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</si>
  <si>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</si>
  <si>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</si>
  <si>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</si>
  <si>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</si>
  <si>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</si>
  <si>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</si>
  <si>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</si>
  <si>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</si>
  <si>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</si>
  <si>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</si>
  <si>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</si>
  <si>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</si>
  <si>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</si>
  <si>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</si>
  <si>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</si>
  <si>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</si>
  <si>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</si>
  <si>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</si>
  <si>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</si>
  <si>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</si>
  <si>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</si>
  <si>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</si>
  <si>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</si>
  <si>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</si>
  <si>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</si>
  <si>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</si>
  <si>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</si>
  <si>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</si>
  <si>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</si>
  <si>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</si>
  <si>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</si>
  <si>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</si>
  <si>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</si>
  <si>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</si>
  <si>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</si>
  <si>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</si>
  <si>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</si>
  <si>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</si>
  <si>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</si>
  <si>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</si>
  <si>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</si>
  <si>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</si>
  <si>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</si>
  <si>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</si>
  <si>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</si>
  <si>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</si>
  <si>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</si>
  <si>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</si>
  <si>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</si>
  <si>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</si>
  <si>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</si>
  <si>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</si>
  <si>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</si>
  <si>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</si>
  <si>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</si>
  <si>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</si>
  <si>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</si>
  <si>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</si>
  <si>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</si>
  <si>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</si>
  <si>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</si>
  <si>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</si>
  <si>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</si>
  <si>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</si>
  <si>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</si>
  <si>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</si>
  <si>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</si>
  <si>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</si>
  <si>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</si>
  <si>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</si>
  <si>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</si>
  <si>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</si>
  <si>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</si>
  <si>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</si>
  <si>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</si>
  <si>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</si>
  <si>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</si>
  <si>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</si>
  <si>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</si>
  <si>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</si>
  <si>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</si>
  <si>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</si>
  <si>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</si>
  <si>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</si>
  <si>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</si>
  <si>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</si>
  <si>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</si>
  <si>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</si>
  <si>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</si>
  <si>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</si>
  <si>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</si>
  <si>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</si>
  <si>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</si>
  <si>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</si>
  <si>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</si>
  <si>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</si>
  <si>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</si>
  <si>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</si>
  <si>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</si>
  <si>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</si>
  <si>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</si>
  <si>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</si>
  <si>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</si>
  <si>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</si>
  <si>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</si>
  <si>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</si>
  <si>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</si>
  <si>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</si>
  <si>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</si>
  <si>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</si>
  <si>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</si>
  <si>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</si>
  <si>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</si>
  <si>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</si>
  <si>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</si>
  <si>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</si>
  <si>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</si>
  <si>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</si>
  <si>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</si>
  <si>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</si>
  <si>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</si>
  <si>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</si>
  <si>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</si>
  <si>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</si>
  <si>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</si>
  <si>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</si>
  <si>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</si>
  <si>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</si>
  <si>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</si>
  <si>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</si>
  <si>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</si>
  <si>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</si>
  <si>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</si>
  <si>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</si>
  <si>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</si>
  <si>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</si>
  <si>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</si>
  <si>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</si>
  <si>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</si>
  <si>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</si>
  <si>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</si>
  <si>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</si>
  <si>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</si>
  <si>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</si>
  <si>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</si>
  <si>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</si>
  <si>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</si>
  <si>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</si>
  <si>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</si>
  <si>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</si>
  <si>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</si>
  <si>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</si>
  <si>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</si>
  <si>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</si>
  <si>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</si>
  <si>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</si>
  <si>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</si>
  <si>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</si>
  <si>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</si>
  <si>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</si>
  <si>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</si>
  <si>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</si>
  <si>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</si>
  <si>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</si>
  <si>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</si>
  <si>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</si>
  <si>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</si>
  <si>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</si>
  <si>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</si>
  <si>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</si>
  <si>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</si>
  <si>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</si>
  <si>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</si>
  <si>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</si>
  <si>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</si>
  <si>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</si>
  <si>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</si>
  <si>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</si>
  <si>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</si>
  <si>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</si>
  <si>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</si>
  <si>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</si>
  <si>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</si>
  <si>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</si>
  <si>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</si>
  <si>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</si>
  <si>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</si>
  <si>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</si>
  <si>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</si>
  <si>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</si>
  <si>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</si>
  <si>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</si>
  <si>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</si>
  <si>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</si>
  <si>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</si>
  <si>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</si>
  <si>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</si>
  <si>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</si>
  <si>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</si>
  <si>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</si>
  <si>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</si>
  <si>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</si>
  <si>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</si>
  <si>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</si>
  <si>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</si>
  <si>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</si>
  <si>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</si>
  <si>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</si>
  <si>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</si>
  <si>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</si>
  <si>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</si>
  <si>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</si>
  <si>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</si>
  <si>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</si>
  <si>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</si>
  <si>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</si>
  <si>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</si>
  <si>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</si>
  <si>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</si>
  <si>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</si>
  <si>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</si>
  <si>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</si>
  <si>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</si>
  <si>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</si>
  <si>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</si>
  <si>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</si>
  <si>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</si>
  <si>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</si>
  <si>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</si>
  <si>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</si>
  <si>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</si>
  <si>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</si>
  <si>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</si>
  <si>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</si>
  <si>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</si>
  <si>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</si>
  <si>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</si>
  <si>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</si>
  <si>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</si>
  <si>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</si>
  <si>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</si>
  <si>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</si>
  <si>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</si>
  <si>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</si>
  <si>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</si>
  <si>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</si>
  <si>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</si>
  <si>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</si>
  <si>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</si>
  <si>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</si>
  <si>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</si>
  <si>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</si>
  <si>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</si>
  <si>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</si>
  <si>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</si>
  <si>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</si>
  <si>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</si>
  <si>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</si>
  <si>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</si>
  <si>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</si>
  <si>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</si>
  <si>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</si>
  <si>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</si>
  <si>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</si>
  <si>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</si>
  <si>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</si>
  <si>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</si>
  <si>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</si>
  <si>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</si>
  <si>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</si>
  <si>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</si>
  <si>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</si>
  <si>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</si>
  <si>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</si>
  <si>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</si>
  <si>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</si>
  <si>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</si>
  <si>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</si>
  <si>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</si>
  <si>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</si>
  <si>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</si>
  <si>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</si>
  <si>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</si>
  <si>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</si>
  <si>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</si>
  <si>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</si>
  <si>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</si>
  <si>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</si>
  <si>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</si>
  <si>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</si>
  <si>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</si>
  <si>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</si>
  <si>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</si>
  <si>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</si>
  <si>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</si>
  <si>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</si>
  <si>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</si>
  <si>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</si>
  <si>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</si>
  <si>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</si>
  <si>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</si>
  <si>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</si>
  <si>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</si>
  <si>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</si>
  <si>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</si>
  <si>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</si>
  <si>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</si>
  <si>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</si>
  <si>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</si>
  <si>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</si>
  <si>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</si>
  <si>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</si>
  <si>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</si>
  <si>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</si>
  <si>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</si>
  <si>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</si>
  <si>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</si>
  <si>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</si>
  <si>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</si>
  <si>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</si>
  <si>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</si>
  <si>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</si>
  <si>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</si>
  <si>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</si>
  <si>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</si>
  <si>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</si>
  <si>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</si>
  <si>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</si>
  <si>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</si>
  <si>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</si>
  <si>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</si>
  <si>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</si>
  <si>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</si>
  <si>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</si>
  <si>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</si>
  <si>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</si>
  <si>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</si>
  <si>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</si>
  <si>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</si>
  <si>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</si>
  <si>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</si>
  <si>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</si>
  <si>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</si>
  <si>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</si>
  <si>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</si>
  <si>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</si>
  <si>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</si>
  <si>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</si>
  <si>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</si>
  <si>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</si>
  <si>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</si>
  <si>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</si>
  <si>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</si>
  <si>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</si>
  <si>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</si>
  <si>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</si>
  <si>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</si>
  <si>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</si>
  <si>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</si>
  <si>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</si>
  <si>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</si>
  <si>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</si>
  <si>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</si>
  <si>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</si>
  <si>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</si>
  <si>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</si>
  <si>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</si>
  <si>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</si>
  <si>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</si>
  <si>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</si>
  <si>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</si>
  <si>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</si>
  <si>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</si>
  <si>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</si>
  <si>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</si>
  <si>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</si>
  <si>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</si>
  <si>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</si>
  <si>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</si>
  <si>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</si>
  <si>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</si>
  <si>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</si>
  <si>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</si>
  <si>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</si>
  <si>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</si>
  <si>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</si>
  <si>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</si>
  <si>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</si>
  <si>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</si>
  <si>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</si>
  <si>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</si>
  <si>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</si>
  <si>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</si>
  <si>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</si>
  <si>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</si>
  <si>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</si>
  <si>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</si>
  <si>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</si>
  <si>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</si>
  <si>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</si>
  <si>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</si>
  <si>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</si>
  <si>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</si>
  <si>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</si>
  <si>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</si>
  <si>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</si>
  <si>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</si>
  <si>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</si>
  <si>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</si>
  <si>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</si>
  <si>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</si>
  <si>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</si>
  <si>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</si>
  <si>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</si>
  <si>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</si>
  <si>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</si>
  <si>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</si>
  <si>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</si>
  <si>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</si>
  <si>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</si>
  <si>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</si>
  <si>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</si>
  <si>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</si>
  <si>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</si>
  <si>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</si>
  <si>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</si>
  <si>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</si>
  <si>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</si>
  <si>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</si>
  <si>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</si>
  <si>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</si>
  <si>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</si>
  <si>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</si>
  <si>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</si>
  <si>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</si>
  <si>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</si>
  <si>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</si>
  <si>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</si>
  <si>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</si>
  <si>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</si>
  <si>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</si>
  <si>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</si>
  <si>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</si>
  <si>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</si>
  <si>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</si>
  <si>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</si>
  <si>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</si>
  <si>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</si>
  <si>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</si>
  <si>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</si>
  <si>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</si>
  <si>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</si>
  <si>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</si>
  <si>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</si>
  <si>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</si>
  <si>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</si>
  <si>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</si>
  <si>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</si>
  <si>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</si>
  <si>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</si>
  <si>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</si>
  <si>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</si>
  <si>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</si>
  <si>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</si>
  <si>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</si>
  <si>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</si>
  <si>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</si>
  <si>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</si>
  <si>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</si>
  <si>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</si>
  <si>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</si>
  <si>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</si>
  <si>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</si>
  <si>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</si>
  <si>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</si>
  <si>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</si>
  <si>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</si>
  <si>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</si>
  <si>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</si>
  <si>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</si>
  <si>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</si>
  <si>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</si>
  <si>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</si>
  <si>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</si>
  <si>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</si>
  <si>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</si>
  <si>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</si>
  <si>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</si>
  <si>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</si>
  <si>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</si>
  <si>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</si>
  <si>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</si>
  <si>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</si>
  <si>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</si>
  <si>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</si>
  <si>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</si>
  <si>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</si>
  <si>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</si>
  <si>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</si>
  <si>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</si>
  <si>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</si>
  <si>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</si>
  <si>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</si>
  <si>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</si>
  <si>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</si>
  <si>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</si>
  <si>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</si>
  <si>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</si>
  <si>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</si>
  <si>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</si>
  <si>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</si>
  <si>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</si>
  <si>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</si>
  <si>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</si>
  <si>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</si>
  <si>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</si>
  <si>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</si>
  <si>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</si>
  <si>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</si>
  <si>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</si>
  <si>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</si>
  <si>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</si>
  <si>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</si>
  <si>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</si>
  <si>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</si>
  <si>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</si>
  <si>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</si>
  <si>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</si>
  <si>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</si>
  <si>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</si>
  <si>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</si>
  <si>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</si>
  <si>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</si>
  <si>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</si>
  <si>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</si>
  <si>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</si>
  <si>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</si>
  <si>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</si>
  <si>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</si>
  <si>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</si>
  <si>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</si>
  <si>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</si>
  <si>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</si>
  <si>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</si>
  <si>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</si>
  <si>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</si>
  <si>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</si>
  <si>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</si>
  <si>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</si>
  <si>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</si>
  <si>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</si>
  <si>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</si>
  <si>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</si>
  <si>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</si>
  <si>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</si>
  <si>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</si>
  <si>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</si>
  <si>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</si>
  <si>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</si>
  <si>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</si>
  <si>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</si>
  <si>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</si>
  <si>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</si>
  <si>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</si>
  <si>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</si>
  <si>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</si>
  <si>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</si>
  <si>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</si>
  <si>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</si>
  <si>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</si>
  <si>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</si>
  <si>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</si>
  <si>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</si>
  <si>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</si>
  <si>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</si>
  <si>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</si>
  <si>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</si>
  <si>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</si>
  <si>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</si>
  <si>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</si>
  <si>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</si>
  <si>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</si>
  <si>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</si>
  <si>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</si>
  <si>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</si>
  <si>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</si>
  <si>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</si>
  <si>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</si>
  <si>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</si>
  <si>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</si>
  <si>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</si>
  <si>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</si>
  <si>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</si>
  <si>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</si>
  <si>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</si>
  <si>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</si>
  <si>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</si>
  <si>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</si>
  <si>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</si>
  <si>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</si>
  <si>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</si>
  <si>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</si>
  <si>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</si>
  <si>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</si>
  <si>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</si>
  <si>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</si>
  <si>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</si>
  <si>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</si>
  <si>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</si>
  <si>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</si>
  <si>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</si>
  <si>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</si>
  <si>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</si>
  <si>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</si>
  <si>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</si>
  <si>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</si>
  <si>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</si>
  <si>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</si>
  <si>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</si>
  <si>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</si>
  <si>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</si>
  <si>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</si>
  <si>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</si>
  <si>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</si>
  <si>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</si>
  <si>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</si>
  <si>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</si>
  <si>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</si>
  <si>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</si>
  <si>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</si>
  <si>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</si>
  <si>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</si>
  <si>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</si>
  <si>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</si>
  <si>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</si>
  <si>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</si>
  <si>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</si>
  <si>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</si>
  <si>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</si>
  <si>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</si>
  <si>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</si>
  <si>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</si>
  <si>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</si>
  <si>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</si>
  <si>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</si>
  <si>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</si>
  <si>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</si>
  <si>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</si>
  <si>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</si>
  <si>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</si>
  <si>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</si>
  <si>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</si>
  <si>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</si>
  <si>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</si>
  <si>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</si>
  <si>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</si>
  <si>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</si>
  <si>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</si>
  <si>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</si>
  <si>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</si>
  <si>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</si>
  <si>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</si>
  <si>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</si>
  <si>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</si>
  <si>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</si>
  <si>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</si>
  <si>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</si>
  <si>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</si>
  <si>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</si>
  <si>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</si>
  <si>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</si>
  <si>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</si>
  <si>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</si>
  <si>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</si>
  <si>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</si>
  <si>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</si>
  <si>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</si>
  <si>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</si>
  <si>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</si>
  <si>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</si>
  <si>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</si>
  <si>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</si>
  <si>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</si>
  <si>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</si>
  <si>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</si>
  <si>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</si>
  <si>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</si>
  <si>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</si>
  <si>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</si>
  <si>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</si>
  <si>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</si>
  <si>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</si>
  <si>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</si>
  <si>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</si>
  <si>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</si>
  <si>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</si>
  <si>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</si>
  <si>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</si>
  <si>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</si>
  <si>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</si>
  <si>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</si>
  <si>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</si>
  <si>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</si>
  <si>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</si>
  <si>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</si>
  <si>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</si>
  <si>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</si>
  <si>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</si>
  <si>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</si>
  <si>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</si>
  <si>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</si>
  <si>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</si>
  <si>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</si>
  <si>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</si>
  <si>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</si>
  <si>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</si>
  <si>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</si>
  <si>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</si>
  <si>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</si>
  <si>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</si>
  <si>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</si>
  <si>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</si>
  <si>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</si>
  <si>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</si>
  <si>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</si>
  <si>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</si>
  <si>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</si>
  <si>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</si>
  <si>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</si>
  <si>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</si>
  <si>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</si>
  <si>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</si>
  <si>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</si>
  <si>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</si>
  <si>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</si>
  <si>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</si>
  <si>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</si>
  <si>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</si>
  <si>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</si>
  <si>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</si>
  <si>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</si>
  <si>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</si>
  <si>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</si>
  <si>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</si>
  <si>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</si>
  <si>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</si>
  <si>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</si>
  <si>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</si>
  <si>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</si>
  <si>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</si>
  <si>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</si>
  <si>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</si>
  <si>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</si>
  <si>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</si>
  <si>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</si>
  <si>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</si>
  <si>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</si>
  <si>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</si>
  <si>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</si>
  <si>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</si>
  <si>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</si>
  <si>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</si>
  <si>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</si>
  <si>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</si>
  <si>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</si>
  <si>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</si>
  <si>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</si>
  <si>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</si>
  <si>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</si>
  <si>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</si>
  <si>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</si>
  <si>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</si>
  <si>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</si>
  <si>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</si>
  <si>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</si>
  <si>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</si>
  <si>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</si>
  <si>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</si>
  <si>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</si>
  <si>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</si>
  <si>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</si>
  <si>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</si>
  <si>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</si>
  <si>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</si>
  <si>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</si>
  <si>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</si>
  <si>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</si>
  <si>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</si>
  <si>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</si>
  <si>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</si>
  <si>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</si>
  <si>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</si>
  <si>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</si>
  <si>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</si>
  <si>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</si>
  <si>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</si>
  <si>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</si>
  <si>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</si>
  <si>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</si>
  <si>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</si>
  <si>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</si>
  <si>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</si>
  <si>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</si>
  <si>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</si>
  <si>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</si>
  <si>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</si>
  <si>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</si>
  <si>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</si>
  <si>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</si>
  <si>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</si>
  <si>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</si>
  <si>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</si>
  <si>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</si>
  <si>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</si>
  <si>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</si>
  <si>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</si>
  <si>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</si>
  <si>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</si>
  <si>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</si>
  <si>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</si>
  <si>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</si>
  <si>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</si>
  <si>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</si>
  <si>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</si>
  <si>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</si>
  <si>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</si>
  <si>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</si>
  <si>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</si>
  <si>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</si>
  <si>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</si>
  <si>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</si>
  <si>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</si>
  <si>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</si>
  <si>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</si>
  <si>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</si>
  <si>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</si>
  <si>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</si>
  <si>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</si>
  <si>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</si>
  <si>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</si>
  <si>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</si>
  <si>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</si>
  <si>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</si>
  <si>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</si>
  <si>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</si>
  <si>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</si>
  <si>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</si>
  <si>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</si>
  <si>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</si>
  <si>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</si>
  <si>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</si>
  <si>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</si>
  <si>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</si>
  <si>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</si>
  <si>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</si>
  <si>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</si>
  <si>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</si>
  <si>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</si>
  <si>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</si>
  <si>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</si>
  <si>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</si>
  <si>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</si>
  <si>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</si>
  <si>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</si>
  <si>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</si>
  <si>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</si>
  <si>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</si>
  <si>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</si>
  <si>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</si>
  <si>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</si>
  <si>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</si>
  <si>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</si>
  <si>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</si>
  <si>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</si>
  <si>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</si>
  <si>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</si>
  <si>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</si>
  <si>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</si>
  <si>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</si>
  <si>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</si>
  <si>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</si>
  <si>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</si>
  <si>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</si>
  <si>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</si>
  <si>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</si>
  <si>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</si>
  <si>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</si>
  <si>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</si>
  <si>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</si>
  <si>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</si>
  <si>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</si>
  <si>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</si>
  <si>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</si>
  <si>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</si>
  <si>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</si>
  <si>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</si>
  <si>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</si>
  <si>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</si>
  <si>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</si>
  <si>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</si>
  <si>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</si>
  <si>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</si>
  <si>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</si>
  <si>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</si>
  <si>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</si>
  <si>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</si>
  <si>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</si>
  <si>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</si>
  <si>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</si>
  <si>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</si>
  <si>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</si>
  <si>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</si>
  <si>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</si>
  <si>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</si>
  <si>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</si>
  <si>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</si>
  <si>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</si>
  <si>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</si>
  <si>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</si>
  <si>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</si>
  <si>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</si>
  <si>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</si>
  <si>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</si>
  <si>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</si>
  <si>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</si>
  <si>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</si>
  <si>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</si>
  <si>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</si>
  <si>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</si>
  <si>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</si>
  <si>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</si>
  <si>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</si>
  <si>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</si>
  <si>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</si>
  <si>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</si>
  <si>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</si>
  <si>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</si>
  <si>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</si>
  <si>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</si>
  <si>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</si>
  <si>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</si>
  <si>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</si>
  <si>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</si>
  <si>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</si>
  <si>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</si>
  <si>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</si>
  <si>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</si>
  <si>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</si>
  <si>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</si>
  <si>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</si>
  <si>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</si>
  <si>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</si>
  <si>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</si>
  <si>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</si>
  <si>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</si>
  <si>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</si>
  <si>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</si>
  <si>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</si>
  <si>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</si>
  <si>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</si>
  <si>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</si>
  <si>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</si>
  <si>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</si>
  <si>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</si>
  <si>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</si>
  <si>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</si>
  <si>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</si>
  <si>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</si>
  <si>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</si>
  <si>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</si>
  <si>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</si>
  <si>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</si>
  <si>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</si>
  <si>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</si>
  <si>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</si>
  <si>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</si>
  <si>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</si>
  <si>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</si>
  <si>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</si>
  <si>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</si>
  <si>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</si>
  <si>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</si>
  <si>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</si>
  <si>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</si>
  <si>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</si>
  <si>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</si>
  <si>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</si>
  <si>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</si>
  <si>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</si>
  <si>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</si>
  <si>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</si>
  <si>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</si>
  <si>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</si>
  <si>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</si>
  <si>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</si>
  <si>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</si>
  <si>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</si>
  <si>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</si>
  <si>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</si>
  <si>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</si>
  <si>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</si>
  <si>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</si>
  <si>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</si>
  <si>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</si>
  <si>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</si>
  <si>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</si>
  <si>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</si>
  <si>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</si>
  <si>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</si>
  <si>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</si>
  <si>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</si>
  <si>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</si>
  <si>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</si>
  <si>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</si>
  <si>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</si>
  <si>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</si>
  <si>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</si>
  <si>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</si>
  <si>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</si>
  <si>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</si>
  <si>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</si>
  <si>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</si>
  <si>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</si>
  <si>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</si>
  <si>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</si>
  <si>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</si>
  <si>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</si>
  <si>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</si>
  <si>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</si>
  <si>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</si>
  <si>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</si>
  <si>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</si>
  <si>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</si>
  <si>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</si>
  <si>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</si>
  <si>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</si>
  <si>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</si>
  <si>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</si>
  <si>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</si>
  <si>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</si>
  <si>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</si>
  <si>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</si>
  <si>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</si>
  <si>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</si>
  <si>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</si>
  <si>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</si>
  <si>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</si>
  <si>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</si>
  <si>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</si>
  <si>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</si>
  <si>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</si>
  <si>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</si>
  <si>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</si>
  <si>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</si>
  <si>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</si>
  <si>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</si>
  <si>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</si>
  <si>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</si>
  <si>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</si>
  <si>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</si>
  <si>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</si>
  <si>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</si>
  <si>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</si>
  <si>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</si>
  <si>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</si>
  <si>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</si>
  <si>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</si>
  <si>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</si>
  <si>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</si>
  <si>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</si>
  <si>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</si>
  <si>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</si>
  <si>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</si>
  <si>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</si>
  <si>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</si>
  <si>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</si>
  <si>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</si>
  <si>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</si>
  <si>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</si>
  <si>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</si>
  <si>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</si>
  <si>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</si>
  <si>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</si>
  <si>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</si>
  <si>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</si>
  <si>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</si>
  <si>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</si>
  <si>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</si>
  <si>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</si>
  <si>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</si>
  <si>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</si>
  <si>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</si>
  <si>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</si>
  <si>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</si>
  <si>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</si>
  <si>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</si>
  <si>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</si>
  <si>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</si>
  <si>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</si>
  <si>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</si>
  <si>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</si>
  <si>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</si>
  <si>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</si>
  <si>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</si>
  <si>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</si>
  <si>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</si>
  <si>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</si>
  <si>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</si>
  <si>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</si>
  <si>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</si>
  <si>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</si>
  <si>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</si>
  <si>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</si>
  <si>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</si>
  <si>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</si>
  <si>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</si>
  <si>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</si>
  <si>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</si>
  <si>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</si>
  <si>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</si>
  <si>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</si>
  <si>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</si>
  <si>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</si>
  <si>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</si>
  <si>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</si>
  <si>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</si>
  <si>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</si>
  <si>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</si>
  <si>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</si>
  <si>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</si>
  <si>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</si>
  <si>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</si>
  <si>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</si>
  <si>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</si>
  <si>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</si>
  <si>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</si>
  <si>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</si>
  <si>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</si>
  <si>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</si>
  <si>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</si>
  <si>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</si>
  <si>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</si>
  <si>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</si>
  <si>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</si>
  <si>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</si>
  <si>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</si>
  <si>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</si>
  <si>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</si>
  <si>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</si>
  <si>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</si>
  <si>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</si>
  <si>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</si>
  <si>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</si>
  <si>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</si>
  <si>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</si>
  <si>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</si>
  <si>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</si>
  <si>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</si>
  <si>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</si>
  <si>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</si>
  <si>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</si>
  <si>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</si>
  <si>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</si>
  <si>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</si>
  <si>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</si>
  <si>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</si>
  <si>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</si>
  <si>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</si>
  <si>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</si>
  <si>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</si>
  <si>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</si>
  <si>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</si>
  <si>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</si>
  <si>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</si>
  <si>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</si>
  <si>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</si>
  <si>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</si>
  <si>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</si>
  <si>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</si>
  <si>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</si>
  <si>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</si>
  <si>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</si>
  <si>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</si>
  <si>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</si>
  <si>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</si>
  <si>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</si>
  <si>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</si>
  <si>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</si>
  <si>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</si>
  <si>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</si>
  <si>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</si>
  <si>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</si>
  <si>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</si>
  <si>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</si>
  <si>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</si>
  <si>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</si>
  <si>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</si>
  <si>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</si>
  <si>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</si>
  <si>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</si>
  <si>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</si>
  <si>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</si>
  <si>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</si>
  <si>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</si>
  <si>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</si>
  <si>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</si>
  <si>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</si>
  <si>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</si>
  <si>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</si>
  <si>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</si>
  <si>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</si>
  <si>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</si>
  <si>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</si>
  <si>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</si>
  <si>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</si>
  <si>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</si>
  <si>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</si>
  <si>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</si>
  <si>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</si>
  <si>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</si>
  <si>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</si>
  <si>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</si>
  <si>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</si>
  <si>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</si>
  <si>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</si>
  <si>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</si>
  <si>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</si>
  <si>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</si>
  <si>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</si>
  <si>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</si>
  <si>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</si>
  <si>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</si>
  <si>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</si>
  <si>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</si>
  <si>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</si>
  <si>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</si>
  <si>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</si>
  <si>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</si>
  <si>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</si>
  <si>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</si>
  <si>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</si>
  <si>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</si>
  <si>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</si>
  <si>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</si>
  <si>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</si>
  <si>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</si>
  <si>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</si>
  <si>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</si>
  <si>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</si>
  <si>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</si>
  <si>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</si>
  <si>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</si>
  <si>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</si>
  <si>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</si>
  <si>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</si>
  <si>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</si>
  <si>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</si>
  <si>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</si>
  <si>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</si>
  <si>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</si>
  <si>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</si>
  <si>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</si>
  <si>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</si>
  <si>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</si>
  <si>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</si>
  <si>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</si>
  <si>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</si>
  <si>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</si>
  <si>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</si>
  <si>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</si>
  <si>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</si>
  <si>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</si>
  <si>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</si>
  <si>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</si>
  <si>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</si>
  <si>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</si>
  <si>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</si>
  <si>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</si>
  <si>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</si>
  <si>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</si>
  <si>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</si>
  <si>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</si>
  <si>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</si>
  <si>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</si>
  <si>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</si>
  <si>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</si>
  <si>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</si>
  <si>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</si>
  <si>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</si>
  <si>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</si>
  <si>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</si>
  <si>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</si>
  <si>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</si>
  <si>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</si>
  <si>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</si>
  <si>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</si>
  <si>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</si>
  <si>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</si>
  <si>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</si>
  <si>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</si>
  <si>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</si>
  <si>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</si>
  <si>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</si>
  <si>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</si>
  <si>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</si>
  <si>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</si>
  <si>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</si>
  <si>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</si>
  <si>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</si>
  <si>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</si>
  <si>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</si>
  <si>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</si>
  <si>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</si>
  <si>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</si>
  <si>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</si>
  <si>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</si>
  <si>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</si>
  <si>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</si>
  <si>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</si>
  <si>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</si>
  <si>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</si>
  <si>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</si>
  <si>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</si>
  <si>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</si>
  <si>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</si>
  <si>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</si>
  <si>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</si>
  <si>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</si>
  <si>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</si>
  <si>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</si>
  <si>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</si>
  <si>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</si>
  <si>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</si>
  <si>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</si>
  <si>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</si>
  <si>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</si>
  <si>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</si>
  <si>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</si>
  <si>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</si>
  <si>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</si>
  <si>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</si>
  <si>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</si>
  <si>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</si>
  <si>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</si>
  <si>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</si>
  <si>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</si>
  <si>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</si>
  <si>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</si>
  <si>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</si>
  <si>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</si>
  <si>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</si>
  <si>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</si>
  <si>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</si>
  <si>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</si>
  <si>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</si>
  <si>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</si>
  <si>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</si>
  <si>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</si>
  <si>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</si>
  <si>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</si>
  <si>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</si>
  <si>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</si>
  <si>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</si>
  <si>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</si>
  <si>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</si>
  <si>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</si>
  <si>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</si>
  <si>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</si>
  <si>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</si>
  <si>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</si>
  <si>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</si>
  <si>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</si>
  <si>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</si>
  <si>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</si>
  <si>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</si>
  <si>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</si>
  <si>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</si>
  <si>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</si>
  <si>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</si>
  <si>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</si>
  <si>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</si>
  <si>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</si>
  <si>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</si>
  <si>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</si>
  <si>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</si>
  <si>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</si>
  <si>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</si>
  <si>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</si>
  <si>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</si>
  <si>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</si>
  <si>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</si>
  <si>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</si>
  <si>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</si>
  <si>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</si>
  <si>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</si>
  <si>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</si>
  <si>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</si>
  <si>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</si>
  <si>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</si>
  <si>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</si>
  <si>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</si>
  <si>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</si>
  <si>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</si>
  <si>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</si>
  <si>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</si>
  <si>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</si>
  <si>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</si>
  <si>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</si>
  <si>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</si>
  <si>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</si>
  <si>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</si>
  <si>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</si>
  <si>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</si>
  <si>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</si>
  <si>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</si>
  <si>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</si>
  <si>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</si>
  <si>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</si>
  <si>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</si>
  <si>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</si>
  <si>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</si>
  <si>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</si>
  <si>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</si>
  <si>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</si>
  <si>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</si>
  <si>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</si>
  <si>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</si>
  <si>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</si>
  <si>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</si>
  <si>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</si>
  <si>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</si>
  <si>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</si>
  <si>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</si>
  <si>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</si>
  <si>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</si>
  <si>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</si>
  <si>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</si>
  <si>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</si>
  <si>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</si>
  <si>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</si>
  <si>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</si>
  <si>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</si>
  <si>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</si>
  <si>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</si>
  <si>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</si>
  <si>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</si>
  <si>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</si>
  <si>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</si>
  <si>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</si>
  <si>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</si>
  <si>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</si>
  <si>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</si>
  <si>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</si>
  <si>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</si>
  <si>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</si>
  <si>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</si>
  <si>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</si>
  <si>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</si>
  <si>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</si>
  <si>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</si>
  <si>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</si>
  <si>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</si>
  <si>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</si>
  <si>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</si>
  <si>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</si>
  <si>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</si>
  <si>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</si>
  <si>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</si>
  <si>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</si>
  <si>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</si>
  <si>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</si>
  <si>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</si>
  <si>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</si>
  <si>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</si>
  <si>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</si>
  <si>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</si>
  <si>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</si>
  <si>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</si>
  <si>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</si>
  <si>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</si>
  <si>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</si>
  <si>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</si>
  <si>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</si>
  <si>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</si>
  <si>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</si>
  <si>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</si>
  <si>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</si>
  <si>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</si>
  <si>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</si>
  <si>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</si>
  <si>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</si>
  <si>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</si>
  <si>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</si>
  <si>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</si>
  <si>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</si>
  <si>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</si>
  <si>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</si>
  <si>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</si>
  <si>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</si>
  <si>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</si>
  <si>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</si>
  <si>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</si>
  <si>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</si>
  <si>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</si>
  <si>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</si>
  <si>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</si>
  <si>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</si>
  <si>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</si>
  <si>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</si>
  <si>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</si>
  <si>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</si>
  <si>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</si>
  <si>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</si>
  <si>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</si>
  <si>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</si>
  <si>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</si>
  <si>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</si>
  <si>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</si>
  <si>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</si>
  <si>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</si>
  <si>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</si>
  <si>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</si>
  <si>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</si>
  <si>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</si>
  <si>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</si>
  <si>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</si>
  <si>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</si>
  <si>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</si>
  <si>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</si>
  <si>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</si>
  <si>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</si>
  <si>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</si>
  <si>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</si>
  <si>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</si>
  <si>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</si>
  <si>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</si>
  <si>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</si>
  <si>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</si>
  <si>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</si>
  <si>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</si>
  <si>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</si>
  <si>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</si>
  <si>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</si>
  <si>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</si>
  <si>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</si>
  <si>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</si>
  <si>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</si>
  <si>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</si>
  <si>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</si>
  <si>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</si>
  <si>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</si>
  <si>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</si>
  <si>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</si>
  <si>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</si>
  <si>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</si>
  <si>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</si>
  <si>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</si>
  <si>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</si>
  <si>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</si>
  <si>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</si>
  <si>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</si>
  <si>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</si>
  <si>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</si>
  <si>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</si>
  <si>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</si>
  <si>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</si>
  <si>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</si>
  <si>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</si>
  <si>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</si>
  <si>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</si>
  <si>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</si>
  <si>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</si>
  <si>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</si>
  <si>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</si>
  <si>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</si>
  <si>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</si>
  <si>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</si>
  <si>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</si>
  <si>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</si>
  <si>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</si>
  <si>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</si>
  <si>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</si>
  <si>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</si>
  <si>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</si>
  <si>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</si>
  <si>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</si>
  <si>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</si>
  <si>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</si>
  <si>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</si>
  <si>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</si>
  <si>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</si>
  <si>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</si>
  <si>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</si>
  <si>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</si>
  <si>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</si>
  <si>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</si>
  <si>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</si>
  <si>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</si>
  <si>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</si>
  <si>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</si>
  <si>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</si>
  <si>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</si>
  <si>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</si>
  <si>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</si>
  <si>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</si>
  <si>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</si>
  <si>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</si>
  <si>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</si>
  <si>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</si>
  <si>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</si>
  <si>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</si>
  <si>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</si>
  <si>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</si>
  <si>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</si>
  <si>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</si>
  <si>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</si>
  <si>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</si>
  <si>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</si>
  <si>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</si>
  <si>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</si>
  <si>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</si>
  <si>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</si>
  <si>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</si>
  <si>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</si>
  <si>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</si>
  <si>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</si>
  <si>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</si>
  <si>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</si>
  <si>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</si>
  <si>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</si>
  <si>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</si>
  <si>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</si>
  <si>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</si>
  <si>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</si>
  <si>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</si>
  <si>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</si>
  <si>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</si>
  <si>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</si>
  <si>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</si>
  <si>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</si>
  <si>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</si>
  <si>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</si>
  <si>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</si>
  <si>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</si>
  <si>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</si>
  <si>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</si>
  <si>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</si>
  <si>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</si>
  <si>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</si>
  <si>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</si>
  <si>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</si>
  <si>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</si>
  <si>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</si>
  <si>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</si>
  <si>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</si>
  <si>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</si>
  <si>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</si>
  <si>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</si>
  <si>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</si>
  <si>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</si>
  <si>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</si>
  <si>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</si>
  <si>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</si>
  <si>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</si>
  <si>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</si>
  <si>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</si>
  <si>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</si>
  <si>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</si>
  <si>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</si>
  <si>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</si>
  <si>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</si>
  <si>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</si>
  <si>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</si>
  <si>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</si>
  <si>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</si>
  <si>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</si>
  <si>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</si>
  <si>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</si>
  <si>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</si>
  <si>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</si>
  <si>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</si>
  <si>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</si>
  <si>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</si>
  <si>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</si>
  <si>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</si>
  <si>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</si>
  <si>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</si>
  <si>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</si>
  <si>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</si>
  <si>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</si>
  <si>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</si>
  <si>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</si>
  <si>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</si>
  <si>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</si>
  <si>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</si>
  <si>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</si>
  <si>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</si>
  <si>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</si>
  <si>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</si>
  <si>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</si>
  <si>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</si>
  <si>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</si>
  <si>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</si>
  <si>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</si>
  <si>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</si>
  <si>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</si>
  <si>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</si>
  <si>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</si>
  <si>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</si>
  <si>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</si>
  <si>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</si>
  <si>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</si>
  <si>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</si>
  <si>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</si>
  <si>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</si>
  <si>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</si>
  <si>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</si>
  <si>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</si>
  <si>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</si>
  <si>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</si>
  <si>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</si>
  <si>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</si>
  <si>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</si>
  <si>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</si>
  <si>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</si>
  <si>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</si>
  <si>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</si>
  <si>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</si>
  <si>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</si>
  <si>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</si>
  <si>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</si>
  <si>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</si>
  <si>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</si>
  <si>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</si>
  <si>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</si>
  <si>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</si>
  <si>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</si>
  <si>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</si>
  <si>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</si>
  <si>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</si>
  <si>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</si>
  <si>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</si>
  <si>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</si>
  <si>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</si>
  <si>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</si>
  <si>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</si>
  <si>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</si>
  <si>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</si>
  <si>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</si>
  <si>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</si>
  <si>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</si>
  <si>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</si>
  <si>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</si>
  <si>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</si>
  <si>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</si>
  <si>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</si>
  <si>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</si>
  <si>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</si>
  <si>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</si>
  <si>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</si>
  <si>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</si>
  <si>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</si>
  <si>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</si>
  <si>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</si>
  <si>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</si>
  <si>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</si>
  <si>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</si>
  <si>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</si>
  <si>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</si>
  <si>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</si>
  <si>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</si>
  <si>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</si>
  <si>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</si>
  <si>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</si>
  <si>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</si>
  <si>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</si>
  <si>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</si>
  <si>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</si>
  <si>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</si>
  <si>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</si>
  <si>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</si>
  <si>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</si>
  <si>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</si>
  <si>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</si>
  <si>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</si>
  <si>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</si>
  <si>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</si>
  <si>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</si>
  <si>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</si>
  <si>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</si>
  <si>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</si>
  <si>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</si>
  <si>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</si>
  <si>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</si>
  <si>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</si>
  <si>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</si>
  <si>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</si>
  <si>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</si>
  <si>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</si>
  <si>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</si>
  <si>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</si>
  <si>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</si>
  <si>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</si>
  <si>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</si>
  <si>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</si>
  <si>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</si>
  <si>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</si>
  <si>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</si>
  <si>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</si>
  <si>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</si>
  <si>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</si>
  <si>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</si>
  <si>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</si>
  <si>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</si>
  <si>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</si>
  <si>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</si>
  <si>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</si>
  <si>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</si>
  <si>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</si>
  <si>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</si>
  <si>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</si>
  <si>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</si>
  <si>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</si>
  <si>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</si>
  <si>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</si>
  <si>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</si>
  <si>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</si>
  <si>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</si>
  <si>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</si>
  <si>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</si>
  <si>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</si>
  <si>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</si>
  <si>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</si>
  <si>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</si>
  <si>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</si>
  <si>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</si>
  <si>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</si>
  <si>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</si>
  <si>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</si>
  <si>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</si>
  <si>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</si>
  <si>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</si>
  <si>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</si>
  <si>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</si>
  <si>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</si>
  <si>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</si>
  <si>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</si>
  <si>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</si>
  <si>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</si>
  <si>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</si>
  <si>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</si>
  <si>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</si>
  <si>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</si>
  <si>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</si>
  <si>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</si>
  <si>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</si>
  <si>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</si>
  <si>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</si>
  <si>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</si>
  <si>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</si>
  <si>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</si>
  <si>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</si>
  <si>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</si>
  <si>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</si>
  <si>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</si>
  <si>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</si>
  <si>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</si>
  <si>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</si>
  <si>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</si>
  <si>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</si>
  <si>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</si>
  <si>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</si>
  <si>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</si>
  <si>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</si>
  <si>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</si>
  <si>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</si>
  <si>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</si>
  <si>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</si>
  <si>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</si>
  <si>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</si>
  <si>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</si>
  <si>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</si>
  <si>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</si>
  <si>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</si>
  <si>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</si>
  <si>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</si>
  <si>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</si>
  <si>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</si>
  <si>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</si>
  <si>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</si>
  <si>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</si>
  <si>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</si>
  <si>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</si>
  <si>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</si>
  <si>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</si>
  <si>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</si>
  <si>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</si>
  <si>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</si>
  <si>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</si>
  <si>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</si>
  <si>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</si>
  <si>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</si>
  <si>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</si>
  <si>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</si>
  <si>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</si>
  <si>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</si>
  <si>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</si>
  <si>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</si>
  <si>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</si>
  <si>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</si>
  <si>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</si>
  <si>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</si>
  <si>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</si>
  <si>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</si>
  <si>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</si>
  <si>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</si>
  <si>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</si>
  <si>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</si>
  <si>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</si>
  <si>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</si>
  <si>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</si>
  <si>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</si>
  <si>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</si>
  <si>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</si>
  <si>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</si>
  <si>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</si>
  <si>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</si>
  <si>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</si>
  <si>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</si>
  <si>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</si>
  <si>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</si>
  <si>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</si>
  <si>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</si>
  <si>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</si>
  <si>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</si>
  <si>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</si>
  <si>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</si>
  <si>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</si>
  <si>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</si>
  <si>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</si>
  <si>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</si>
  <si>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</si>
  <si>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</si>
  <si>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</si>
  <si>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</si>
  <si>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</si>
  <si>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</si>
  <si>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</si>
  <si>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</si>
  <si>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</si>
  <si>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</si>
  <si>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</si>
  <si>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</si>
  <si>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</si>
  <si>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</si>
  <si>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</si>
  <si>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</si>
  <si>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</si>
  <si>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</si>
  <si>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</si>
  <si>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</si>
  <si>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</si>
  <si>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</si>
  <si>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</si>
  <si>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</si>
  <si>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</si>
  <si>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</si>
  <si>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</si>
  <si>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</si>
  <si>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</si>
  <si>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</si>
  <si>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</si>
  <si>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</si>
  <si>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</si>
  <si>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</si>
  <si>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</si>
  <si>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</si>
  <si>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</si>
  <si>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</si>
  <si>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</si>
  <si>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</si>
  <si>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</si>
  <si>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</si>
  <si>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</si>
  <si>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</si>
  <si>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</si>
  <si>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</si>
  <si>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</si>
  <si>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</si>
  <si>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</si>
  <si>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</si>
  <si>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</si>
  <si>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</si>
  <si>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</si>
  <si>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</si>
  <si>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</si>
  <si>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</si>
  <si>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</si>
  <si>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</si>
  <si>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</si>
  <si>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</si>
  <si>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</si>
  <si>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</si>
  <si>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</si>
  <si>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</si>
  <si>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</si>
  <si>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</si>
  <si>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</si>
  <si>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</si>
  <si>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</si>
  <si>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</si>
  <si>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</si>
  <si>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</si>
  <si>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</si>
  <si>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</si>
  <si>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</si>
  <si>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</si>
  <si>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</si>
  <si>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</si>
  <si>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</si>
  <si>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</si>
  <si>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</si>
  <si>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</si>
  <si>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</si>
  <si>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</si>
  <si>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</si>
  <si>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</si>
  <si>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</si>
  <si>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</si>
  <si>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</si>
  <si>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</si>
  <si>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</si>
  <si>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</si>
  <si>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</si>
  <si>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</si>
  <si>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</si>
  <si>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</si>
  <si>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</si>
  <si>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</si>
  <si>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</si>
  <si>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</si>
  <si>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</si>
  <si>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</si>
  <si>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</si>
  <si>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</si>
  <si>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</si>
  <si>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</si>
  <si>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</si>
  <si>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</si>
  <si>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</si>
  <si>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</si>
  <si>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</si>
  <si>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</si>
  <si>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</si>
  <si>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</si>
  <si>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</si>
  <si>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</si>
  <si>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</si>
  <si>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</si>
  <si>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</si>
  <si>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</si>
  <si>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</si>
  <si>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</si>
  <si>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</si>
  <si>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</si>
  <si>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</si>
  <si>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</si>
  <si>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</si>
  <si>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</si>
  <si>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</si>
  <si>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</si>
  <si>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</si>
  <si>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</si>
  <si>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</si>
  <si>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</si>
  <si>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</si>
  <si>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</si>
  <si>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</si>
  <si>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</si>
  <si>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</si>
  <si>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</si>
  <si>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</si>
  <si>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</si>
  <si>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</si>
  <si>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</si>
  <si>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</si>
  <si>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</si>
  <si>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</si>
  <si>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</si>
  <si>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</si>
  <si>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</si>
  <si>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</si>
  <si>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</si>
  <si>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</si>
  <si>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</si>
  <si>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</si>
  <si>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</si>
  <si>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</si>
  <si>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</si>
  <si>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</si>
  <si>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</si>
  <si>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</si>
  <si>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</si>
  <si>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</si>
  <si>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</si>
  <si>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</si>
  <si>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</si>
  <si>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</si>
  <si>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</si>
  <si>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</si>
  <si>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</si>
  <si>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</si>
  <si>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</si>
  <si>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</si>
  <si>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</si>
  <si>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</si>
  <si>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</si>
  <si>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</si>
  <si>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</si>
  <si>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</si>
  <si>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</si>
  <si>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</si>
  <si>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</si>
  <si>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</si>
  <si>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</si>
  <si>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</si>
  <si>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</si>
  <si>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</si>
  <si>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</si>
  <si>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</si>
  <si>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</si>
  <si>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</si>
  <si>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</si>
  <si>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</si>
  <si>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</si>
  <si>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</si>
  <si>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</si>
  <si>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</si>
  <si>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</si>
  <si>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</si>
  <si>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</si>
  <si>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</si>
  <si>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</si>
  <si>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</si>
  <si>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</si>
  <si>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</si>
  <si>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</si>
  <si>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</si>
  <si>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</si>
  <si>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</si>
  <si>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</si>
  <si>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</si>
  <si>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</si>
  <si>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</si>
  <si>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</si>
  <si>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</si>
  <si>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</si>
  <si>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</si>
  <si>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</si>
  <si>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</si>
  <si>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</si>
  <si>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</si>
  <si>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</si>
  <si>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</si>
  <si>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</si>
  <si>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</si>
  <si>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</si>
  <si>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</si>
  <si>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</si>
  <si>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</si>
  <si>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</si>
  <si>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</si>
  <si>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</si>
  <si>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</si>
  <si>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</si>
  <si>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</si>
  <si>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</si>
  <si>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</si>
  <si>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</si>
  <si>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</si>
  <si>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</si>
  <si>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</si>
  <si>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</si>
  <si>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</si>
  <si>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</si>
  <si>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</si>
  <si>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</si>
  <si>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</si>
  <si>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</si>
  <si>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</si>
  <si>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</si>
  <si>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</si>
  <si>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</si>
  <si>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</si>
  <si>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</si>
  <si>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</si>
  <si>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</si>
  <si>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</si>
  <si>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</si>
  <si>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</si>
  <si>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</si>
  <si>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</si>
  <si>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</si>
  <si>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</si>
  <si>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</si>
  <si>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</si>
  <si>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</si>
  <si>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</si>
  <si>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</si>
  <si>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</si>
  <si>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</si>
  <si>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</si>
  <si>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</si>
  <si>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</si>
  <si>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</si>
  <si>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</si>
  <si>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</si>
  <si>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</si>
  <si>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</si>
  <si>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</si>
  <si>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</si>
  <si>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</si>
  <si>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</si>
  <si>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</si>
  <si>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</si>
  <si>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</si>
  <si>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</si>
  <si>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</si>
  <si>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</si>
  <si>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</si>
  <si>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</si>
  <si>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</si>
  <si>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</si>
  <si>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</si>
  <si>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</si>
  <si>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</si>
  <si>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</si>
  <si>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</si>
  <si>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</si>
  <si>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</si>
  <si>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</si>
  <si>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</si>
  <si>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</si>
  <si>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</si>
  <si>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</si>
  <si>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</si>
  <si>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</si>
  <si>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</si>
  <si>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</si>
  <si>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</si>
  <si>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</si>
  <si>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</si>
  <si>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</si>
  <si>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</si>
  <si>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</si>
  <si>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</si>
  <si>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</si>
  <si>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</si>
  <si>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</si>
  <si>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</si>
  <si>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</si>
  <si>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</si>
  <si>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</si>
  <si>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</si>
  <si>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</si>
  <si>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</si>
  <si>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</si>
  <si>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</si>
  <si>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</si>
  <si>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</si>
  <si>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</si>
  <si>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</si>
  <si>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</si>
  <si>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</si>
  <si>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</si>
  <si>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</si>
  <si>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</si>
  <si>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</si>
  <si>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</si>
  <si>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</si>
  <si>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</si>
  <si>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</si>
  <si>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</si>
  <si>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</si>
  <si>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</si>
  <si>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</si>
  <si>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</si>
  <si>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</si>
  <si>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</si>
  <si>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</si>
  <si>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</si>
  <si>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</si>
  <si>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</si>
  <si>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</si>
  <si>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</si>
  <si>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</si>
  <si>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</si>
  <si>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</si>
  <si>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</si>
  <si>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</si>
  <si>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</si>
  <si>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</si>
  <si>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</si>
  <si>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</si>
  <si>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</si>
  <si>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</si>
  <si>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</si>
  <si>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</si>
  <si>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</si>
  <si>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</si>
  <si>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</si>
  <si>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</si>
  <si>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</si>
  <si>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</si>
  <si>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</si>
  <si>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</si>
  <si>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</si>
  <si>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</si>
  <si>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</si>
  <si>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</si>
  <si>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</si>
  <si>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</si>
  <si>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</si>
  <si>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</si>
  <si>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</si>
  <si>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</si>
  <si>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</si>
  <si>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</si>
  <si>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</si>
  <si>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</si>
  <si>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</si>
  <si>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</si>
  <si>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</si>
  <si>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</si>
  <si>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</si>
  <si>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</si>
  <si>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</si>
  <si>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</si>
  <si>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</si>
  <si>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</si>
  <si>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</si>
  <si>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</si>
  <si>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</si>
  <si>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</si>
  <si>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</si>
  <si>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</si>
  <si>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</si>
  <si>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</si>
  <si>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</si>
  <si>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</si>
  <si>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</si>
  <si>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</si>
  <si>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</si>
  <si>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</si>
  <si>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</si>
  <si>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</si>
  <si>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</si>
  <si>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</si>
  <si>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</si>
  <si>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</si>
  <si>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</si>
  <si>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</si>
  <si>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</si>
  <si>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</si>
  <si>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</si>
  <si>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</si>
  <si>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</si>
  <si>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</si>
  <si>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</si>
  <si>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</si>
  <si>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</si>
  <si>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</si>
  <si>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</si>
  <si>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</si>
  <si>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</si>
  <si>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</si>
  <si>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</si>
  <si>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</si>
  <si>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</si>
  <si>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</si>
  <si>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</si>
  <si>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</si>
  <si>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</si>
  <si>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</si>
  <si>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</si>
  <si>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</si>
  <si>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</si>
  <si>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</si>
  <si>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</si>
  <si>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</si>
  <si>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</si>
  <si>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</si>
  <si>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</si>
  <si>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</si>
  <si>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</si>
  <si>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</si>
  <si>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</si>
  <si>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</si>
  <si>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</si>
  <si>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</si>
  <si>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</si>
  <si>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</si>
  <si>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</si>
  <si>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</si>
  <si>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</si>
  <si>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</si>
  <si>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</si>
  <si>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</si>
  <si>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</si>
  <si>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</si>
  <si>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</si>
  <si>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</si>
  <si>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</si>
  <si>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</si>
  <si>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</si>
  <si>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</si>
  <si>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</si>
  <si>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</si>
  <si>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</si>
  <si>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</si>
  <si>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</si>
  <si>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</si>
  <si>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</si>
  <si>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</si>
  <si>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</si>
  <si>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</si>
  <si>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</si>
  <si>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</si>
  <si>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</si>
  <si>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</si>
  <si>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</si>
  <si>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</si>
  <si>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</si>
  <si>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</si>
  <si>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</si>
  <si>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</si>
  <si>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</si>
  <si>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</si>
  <si>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</si>
  <si>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</si>
  <si>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</si>
  <si>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</si>
  <si>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</si>
  <si>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</si>
  <si>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</si>
  <si>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</si>
  <si>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</si>
  <si>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</si>
  <si>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</si>
  <si>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</si>
  <si>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</si>
  <si>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</si>
  <si>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</si>
  <si>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</si>
  <si>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</si>
  <si>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</si>
  <si>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</si>
  <si>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</si>
  <si>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</si>
  <si>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</si>
  <si>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</si>
  <si>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</si>
  <si>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</si>
  <si>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</si>
  <si>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</si>
  <si>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</si>
  <si>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</si>
  <si>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</si>
  <si>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</si>
  <si>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</si>
  <si>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</si>
  <si>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</si>
  <si>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</si>
  <si>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</si>
  <si>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</si>
  <si>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</si>
  <si>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</si>
  <si>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</si>
  <si>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</si>
  <si>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</si>
  <si>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</si>
  <si>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</si>
  <si>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</si>
  <si>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</si>
  <si>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</si>
  <si>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</si>
  <si>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</si>
  <si>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</si>
  <si>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</si>
  <si>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</si>
  <si>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</si>
  <si>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</si>
  <si>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</si>
  <si>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</si>
  <si>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</si>
  <si>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</si>
  <si>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</si>
  <si>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</si>
  <si>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</si>
  <si>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</si>
  <si>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</si>
  <si>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</si>
  <si>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</si>
  <si>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</si>
  <si>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</si>
  <si>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</si>
  <si>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</si>
  <si>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</si>
  <si>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</si>
  <si>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</si>
  <si>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</si>
  <si>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</si>
  <si>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</si>
  <si>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</si>
  <si>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</si>
  <si>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</si>
  <si>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</si>
  <si>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</si>
  <si>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</si>
  <si>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</si>
  <si>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</si>
  <si>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</si>
  <si>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</si>
  <si>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</si>
  <si>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</si>
  <si>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</si>
  <si>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</si>
  <si>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</si>
  <si>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</si>
  <si>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</si>
  <si>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</si>
  <si>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</si>
  <si>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</si>
  <si>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</si>
  <si>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</si>
  <si>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</si>
  <si>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</si>
  <si>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</si>
  <si>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</si>
  <si>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</si>
  <si>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</si>
  <si>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</si>
  <si>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</si>
  <si>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</si>
  <si>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</si>
  <si>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</si>
  <si>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</si>
  <si>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</si>
  <si>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</si>
  <si>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</si>
  <si>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</si>
  <si>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</si>
  <si>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</si>
  <si>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</si>
  <si>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</si>
  <si>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</si>
  <si>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</si>
  <si>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</si>
  <si>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</si>
  <si>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</si>
  <si>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</si>
  <si>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</si>
  <si>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</si>
  <si>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</si>
  <si>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</si>
  <si>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</si>
  <si>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</si>
  <si>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</si>
  <si>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</si>
  <si>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</si>
  <si>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</si>
  <si>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</si>
  <si>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</si>
  <si>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</si>
  <si>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</si>
  <si>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</si>
  <si>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</si>
  <si>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</si>
  <si>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</si>
  <si>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</si>
  <si>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</si>
  <si>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</si>
  <si>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</si>
  <si>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</si>
  <si>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</si>
  <si>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</si>
  <si>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</si>
  <si>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</si>
  <si>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</si>
  <si>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</si>
  <si>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</si>
  <si>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</si>
  <si>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</si>
  <si>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</si>
  <si>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</si>
  <si>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</si>
  <si>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</si>
  <si>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</si>
  <si>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</si>
  <si>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</si>
  <si>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</si>
  <si>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</si>
  <si>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</si>
  <si>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</si>
  <si>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</si>
  <si>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</si>
  <si>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</si>
  <si>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</si>
  <si>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</si>
  <si>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</si>
  <si>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</si>
  <si>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</si>
  <si>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</si>
  <si>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</si>
  <si>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</si>
  <si>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</si>
  <si>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</si>
  <si>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</si>
  <si>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</si>
  <si>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</si>
  <si>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</si>
  <si>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</si>
  <si>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</si>
  <si>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</si>
  <si>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</si>
  <si>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</si>
  <si>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</si>
  <si>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</si>
  <si>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</si>
  <si>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</si>
  <si>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</si>
  <si>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</si>
  <si>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</si>
  <si>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</si>
  <si>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</si>
  <si>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</si>
  <si>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</si>
  <si>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</si>
  <si>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</si>
  <si>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</si>
  <si>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</si>
  <si>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</si>
  <si>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</si>
  <si>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</si>
  <si>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</si>
  <si>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</si>
  <si>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</si>
  <si>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</si>
  <si>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</si>
  <si>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</si>
  <si>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</si>
  <si>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</si>
  <si>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</si>
  <si>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</si>
  <si>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</si>
  <si>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</si>
  <si>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</si>
  <si>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</si>
  <si>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</si>
  <si>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</si>
  <si>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</si>
  <si>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</si>
  <si>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</si>
  <si>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</si>
  <si>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</si>
  <si>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</si>
  <si>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</si>
  <si>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</si>
  <si>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</si>
  <si>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</si>
  <si>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</si>
  <si>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</si>
  <si>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</si>
  <si>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</si>
  <si>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</si>
  <si>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</si>
  <si>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</si>
  <si>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</si>
  <si>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</si>
  <si>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</si>
  <si>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</si>
  <si>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</si>
  <si>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</si>
  <si>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</si>
  <si>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</si>
  <si>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</si>
  <si>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</si>
  <si>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</si>
  <si>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</si>
  <si>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</si>
  <si>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</si>
  <si>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</si>
  <si>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</si>
  <si>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</si>
  <si>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</si>
  <si>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</si>
  <si>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</si>
  <si>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</si>
  <si>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</si>
  <si>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</si>
  <si>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</si>
  <si>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</si>
  <si>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</si>
  <si>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</si>
  <si>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</si>
  <si>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</si>
  <si>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</si>
  <si>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</si>
  <si>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</si>
  <si>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</si>
  <si>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</si>
  <si>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</si>
  <si>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</si>
  <si>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</si>
  <si>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</si>
  <si>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</si>
  <si>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</si>
  <si>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</si>
  <si>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</si>
  <si>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</si>
  <si>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</si>
  <si>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</si>
  <si>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</si>
  <si>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</si>
  <si>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</si>
  <si>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</si>
  <si>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</si>
  <si>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</si>
  <si>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</si>
  <si>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</si>
  <si>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</si>
  <si>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</si>
  <si>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</si>
  <si>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</si>
  <si>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</si>
  <si>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</si>
  <si>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</si>
  <si>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</si>
  <si>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</si>
  <si>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</si>
  <si>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</si>
  <si>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</si>
  <si>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</si>
  <si>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</si>
  <si>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</si>
  <si>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</si>
  <si>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</si>
  <si>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</si>
  <si>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</si>
  <si>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</si>
  <si>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</si>
  <si>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</si>
  <si>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</si>
  <si>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</si>
  <si>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</si>
  <si>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</si>
  <si>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</si>
  <si>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</si>
  <si>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</si>
  <si>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</si>
  <si>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</si>
  <si>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</si>
  <si>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</si>
  <si>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</si>
  <si>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</si>
  <si>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</si>
  <si>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</si>
  <si>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</si>
  <si>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</si>
  <si>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</si>
  <si>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</si>
  <si>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</si>
  <si>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</si>
  <si>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</si>
  <si>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</si>
  <si>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</si>
  <si>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</si>
  <si>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</si>
  <si>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</si>
  <si>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</si>
  <si>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</si>
  <si>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</si>
  <si>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</si>
  <si>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</si>
  <si>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</si>
  <si>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</si>
  <si>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</si>
  <si>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</si>
  <si>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</si>
  <si>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</si>
  <si>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</si>
  <si>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</si>
  <si>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</si>
  <si>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</si>
  <si>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</si>
  <si>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</si>
  <si>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</si>
  <si>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</si>
  <si>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</si>
  <si>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</si>
  <si>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</si>
  <si>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</si>
  <si>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</si>
  <si>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</si>
  <si>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</si>
  <si>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</si>
  <si>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</si>
  <si>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</si>
  <si>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</si>
  <si>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</si>
  <si>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</si>
  <si>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</si>
  <si>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</si>
  <si>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</si>
  <si>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</si>
  <si>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</si>
  <si>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</si>
  <si>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</si>
  <si>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</si>
  <si>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</si>
  <si>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</si>
  <si>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</si>
  <si>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</si>
  <si>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</si>
  <si>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</si>
  <si>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</si>
  <si>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</si>
  <si>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</si>
  <si>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</si>
  <si>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</si>
  <si>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</si>
  <si>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</si>
  <si>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</si>
  <si>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</si>
  <si>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</si>
  <si>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</si>
  <si>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</si>
  <si>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</si>
  <si>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</si>
  <si>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</si>
  <si>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</si>
  <si>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</si>
  <si>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</si>
  <si>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</si>
  <si>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</si>
  <si>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</si>
  <si>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</si>
  <si>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</si>
  <si>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</si>
  <si>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</si>
  <si>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</si>
  <si>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</si>
  <si>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</si>
  <si>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</si>
  <si>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</si>
  <si>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</si>
  <si>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</si>
  <si>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</si>
  <si>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</si>
  <si>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</si>
  <si>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</si>
  <si>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</si>
  <si>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</si>
  <si>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</si>
  <si>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</si>
  <si>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</si>
  <si>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</si>
  <si>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</si>
  <si>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</si>
  <si>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</si>
  <si>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</si>
  <si>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</si>
  <si>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</si>
  <si>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</si>
  <si>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</si>
  <si>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</si>
  <si>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</si>
  <si>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</si>
  <si>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</si>
  <si>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</si>
  <si>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</si>
  <si>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</si>
  <si>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</si>
  <si>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</si>
  <si>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</si>
  <si>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</si>
  <si>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</si>
  <si>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</si>
  <si>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</si>
  <si>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</si>
  <si>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</si>
  <si>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</si>
  <si>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</si>
  <si>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</si>
  <si>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</si>
  <si>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</si>
  <si>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</si>
  <si>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</si>
  <si>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</si>
  <si>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</si>
  <si>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</si>
  <si>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</si>
  <si>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</si>
  <si>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</si>
  <si>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</si>
  <si>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</si>
  <si>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</si>
  <si>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</si>
  <si>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</si>
  <si>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</si>
  <si>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</si>
  <si>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</si>
  <si>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</si>
  <si>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</si>
  <si>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</si>
  <si>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</si>
  <si>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</si>
  <si>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</si>
  <si>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</si>
  <si>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</si>
  <si>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</si>
  <si>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</si>
  <si>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</si>
  <si>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</si>
  <si>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</si>
  <si>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</si>
  <si>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</si>
  <si>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</si>
  <si>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</si>
  <si>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</si>
  <si>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</si>
  <si>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</si>
  <si>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</si>
  <si>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</si>
  <si>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</si>
  <si>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</si>
  <si>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</si>
  <si>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</si>
  <si>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</si>
  <si>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</si>
  <si>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</si>
  <si>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</si>
  <si>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</si>
  <si>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</si>
  <si>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</si>
  <si>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</si>
  <si>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</si>
  <si>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</si>
  <si>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</si>
  <si>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</si>
  <si>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</si>
  <si>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</si>
  <si>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</si>
  <si>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</si>
  <si>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</si>
  <si>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</si>
  <si>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</si>
  <si>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</si>
  <si>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</si>
  <si>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</si>
  <si>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</si>
  <si>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</si>
  <si>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</si>
  <si>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</si>
  <si>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</si>
  <si>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</si>
  <si>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</si>
  <si>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</si>
  <si>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</si>
  <si>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</si>
  <si>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</si>
  <si>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</si>
  <si>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</si>
  <si>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</si>
  <si>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</si>
  <si>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</si>
  <si>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</si>
  <si>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</si>
  <si>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</si>
  <si>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</si>
  <si>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</si>
  <si>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</si>
  <si>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</si>
  <si>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</si>
  <si>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</si>
  <si>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</si>
  <si>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</si>
  <si>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</si>
  <si>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</si>
  <si>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</si>
  <si>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</si>
  <si>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</si>
  <si>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</si>
  <si>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</si>
  <si>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</si>
  <si>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</si>
  <si>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</si>
  <si>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</si>
  <si>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</si>
  <si>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</si>
  <si>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</si>
  <si>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</si>
  <si>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</si>
  <si>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</si>
  <si>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</si>
  <si>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</si>
  <si>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</si>
  <si>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</si>
  <si>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</si>
  <si>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</si>
  <si>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</si>
  <si>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</si>
  <si>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</si>
  <si>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</si>
  <si>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</si>
  <si>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</si>
  <si>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</si>
  <si>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</si>
  <si>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</si>
  <si>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</si>
  <si>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</si>
  <si>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</si>
  <si>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</si>
  <si>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</si>
  <si>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</si>
  <si>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</si>
  <si>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</si>
  <si>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</si>
  <si>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</si>
  <si>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</si>
  <si>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</si>
  <si>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</si>
  <si>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</si>
  <si>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</si>
  <si>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</si>
  <si>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</si>
  <si>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</si>
  <si>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</si>
  <si>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</si>
  <si>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</si>
  <si>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</si>
  <si>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</si>
  <si>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</si>
  <si>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</si>
  <si>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</si>
  <si>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</si>
  <si>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</si>
  <si>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</si>
  <si>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</si>
  <si>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</si>
  <si>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</si>
  <si>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</si>
  <si>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</si>
  <si>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</si>
  <si>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</si>
  <si>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</si>
  <si>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</si>
  <si>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</si>
  <si>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</si>
  <si>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</si>
  <si>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</si>
  <si>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</si>
  <si>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</si>
  <si>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</si>
  <si>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</si>
  <si>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</si>
  <si>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</si>
  <si>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</si>
  <si>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</si>
  <si>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</si>
  <si>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</si>
  <si>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</si>
  <si>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</si>
  <si>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</si>
  <si>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</si>
  <si>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</si>
  <si>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</si>
  <si>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</si>
  <si>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</si>
  <si>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</si>
  <si>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</si>
  <si>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</si>
  <si>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</si>
  <si>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</si>
  <si>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</si>
  <si>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</si>
  <si>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</si>
  <si>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</si>
  <si>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</si>
  <si>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</si>
  <si>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</si>
  <si>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</si>
  <si>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</si>
  <si>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</si>
  <si>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</si>
  <si>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</si>
  <si>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</si>
  <si>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</si>
  <si>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</si>
  <si>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</si>
  <si>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</si>
  <si>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</si>
  <si>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</si>
  <si>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</si>
  <si>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</si>
  <si>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</si>
  <si>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</si>
  <si>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</si>
  <si>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</si>
  <si>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</si>
  <si>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</si>
  <si>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</si>
  <si>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</si>
  <si>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</si>
  <si>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</si>
  <si>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</si>
  <si>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</si>
  <si>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</si>
  <si>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</si>
  <si>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</si>
  <si>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</si>
  <si>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</si>
  <si>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</si>
  <si>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</si>
  <si>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</si>
  <si>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</si>
  <si>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</si>
  <si>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</si>
  <si>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</si>
  <si>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</si>
  <si>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</si>
  <si>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</si>
  <si>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</si>
  <si>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</si>
  <si>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</si>
  <si>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</si>
  <si>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</si>
  <si>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</si>
  <si>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</si>
  <si>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</si>
  <si>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</si>
  <si>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</si>
  <si>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</si>
  <si>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</si>
  <si>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</si>
  <si>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</si>
  <si>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</si>
  <si>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</si>
  <si>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</si>
  <si>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</si>
  <si>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</si>
  <si>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</si>
  <si>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</si>
  <si>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</si>
  <si>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</si>
  <si>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</si>
  <si>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</si>
  <si>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</si>
  <si>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</si>
  <si>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</si>
  <si>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</si>
  <si>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</si>
  <si>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</si>
  <si>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</si>
  <si>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</si>
  <si>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</si>
  <si>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</si>
  <si>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</si>
  <si>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</si>
  <si>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</si>
  <si>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</si>
  <si>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</si>
  <si>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</si>
  <si>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</si>
  <si>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</si>
  <si>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</si>
  <si>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</si>
  <si>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</si>
  <si>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</si>
  <si>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</si>
  <si>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</si>
  <si>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</si>
  <si>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</si>
  <si>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</si>
  <si>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</si>
  <si>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</si>
  <si>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</si>
  <si>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</si>
  <si>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</si>
  <si>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</si>
  <si>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</si>
  <si>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</si>
  <si>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</si>
  <si>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</si>
  <si>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</si>
  <si>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</si>
  <si>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</si>
  <si>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</si>
  <si>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</si>
  <si>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</si>
  <si>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</si>
  <si>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</si>
  <si>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</si>
  <si>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</si>
  <si>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</si>
  <si>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</si>
  <si>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</si>
  <si>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</si>
  <si>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</si>
  <si>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</si>
  <si>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</si>
  <si>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</si>
  <si>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</si>
  <si>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</si>
  <si>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</si>
  <si>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</si>
  <si>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</si>
  <si>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</si>
  <si>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</si>
  <si>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</si>
  <si>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</si>
  <si>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</si>
  <si>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</si>
  <si>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</si>
  <si>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</si>
  <si>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</si>
  <si>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</si>
  <si>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</si>
  <si>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</si>
  <si>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</si>
  <si>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</si>
  <si>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</si>
  <si>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</si>
  <si>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</si>
  <si>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</si>
  <si>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</si>
  <si>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</si>
  <si>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</si>
  <si>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</si>
  <si>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</si>
  <si>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</si>
  <si>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</si>
  <si>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</si>
  <si>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</si>
  <si>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</si>
  <si>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</si>
  <si>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</si>
  <si>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</si>
  <si>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</si>
  <si>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</si>
  <si>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</si>
  <si>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</si>
  <si>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</si>
  <si>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</si>
  <si>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</si>
  <si>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</si>
  <si>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</si>
  <si>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</si>
  <si>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</si>
  <si>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</si>
  <si>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</si>
  <si>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</si>
  <si>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</si>
  <si>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</si>
  <si>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</si>
  <si>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</si>
  <si>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</si>
  <si>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</si>
  <si>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</si>
  <si>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</si>
  <si>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</si>
  <si>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</si>
  <si>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</si>
  <si>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</si>
  <si>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</si>
  <si>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</si>
  <si>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</si>
  <si>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</si>
  <si>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</si>
  <si>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</si>
  <si>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</si>
  <si>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</si>
  <si>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</si>
  <si>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</si>
  <si>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</si>
  <si>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</si>
  <si>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</si>
  <si>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</si>
  <si>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</si>
  <si>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</si>
  <si>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</si>
  <si>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</si>
  <si>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</si>
  <si>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</si>
  <si>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</si>
  <si>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</si>
  <si>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</si>
  <si>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</si>
  <si>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</si>
  <si>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</si>
  <si>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</si>
  <si>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</si>
  <si>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</si>
  <si>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</si>
  <si>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</si>
  <si>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</si>
  <si>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</si>
  <si>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</si>
  <si>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</si>
  <si>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</si>
  <si>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</si>
  <si>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</si>
  <si>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</si>
  <si>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</si>
  <si>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</si>
  <si>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</si>
  <si>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</si>
  <si>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</si>
  <si>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</si>
  <si>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</si>
  <si>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</si>
  <si>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</si>
  <si>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</si>
  <si>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</si>
  <si>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</si>
  <si>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</si>
  <si>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</si>
  <si>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</si>
  <si>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</si>
  <si>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</si>
  <si>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</si>
  <si>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</si>
  <si>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</si>
  <si>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</si>
  <si>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</si>
  <si>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</si>
  <si>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</si>
  <si>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</si>
  <si>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</si>
  <si>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</si>
  <si>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</si>
  <si>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</si>
  <si>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</si>
  <si>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</si>
  <si>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</si>
  <si>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</si>
  <si>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</si>
  <si>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</si>
  <si>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</si>
  <si>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</si>
  <si>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</si>
  <si>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</si>
  <si>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</si>
  <si>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</si>
  <si>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</si>
  <si>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</si>
  <si>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</si>
  <si>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</si>
  <si>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</si>
  <si>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</si>
  <si>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</si>
  <si>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</si>
  <si>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</si>
  <si>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</si>
  <si>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</si>
  <si>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</si>
  <si>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</si>
  <si>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</si>
  <si>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</si>
  <si>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</si>
  <si>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</si>
  <si>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</si>
  <si>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</si>
  <si>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</si>
  <si>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</si>
  <si>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</si>
  <si>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</si>
  <si>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</si>
  <si>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</si>
  <si>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</si>
  <si>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</si>
  <si>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</si>
  <si>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</si>
  <si>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</si>
  <si>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</si>
  <si>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</si>
  <si>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</si>
  <si>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</si>
  <si>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</si>
  <si>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</si>
  <si>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</si>
  <si>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</si>
  <si>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</si>
  <si>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</si>
  <si>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</si>
  <si>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</si>
  <si>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</si>
  <si>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</si>
  <si>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</si>
  <si>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</si>
  <si>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</si>
  <si>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</si>
  <si>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</si>
  <si>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</si>
  <si>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</si>
  <si>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</si>
  <si>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</si>
  <si>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</si>
  <si>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</si>
  <si>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</si>
  <si>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</si>
  <si>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</si>
  <si>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</si>
  <si>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</si>
  <si>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</si>
  <si>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</si>
  <si>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</si>
  <si>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</si>
  <si>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</si>
  <si>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</si>
  <si>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</si>
  <si>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</si>
  <si>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</si>
  <si>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</si>
  <si>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</si>
  <si>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</si>
  <si>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</si>
  <si>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</si>
  <si>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</si>
  <si>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</si>
  <si>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</si>
  <si>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</si>
  <si>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</si>
  <si>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</si>
  <si>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</si>
  <si>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</si>
  <si>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</si>
  <si>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</si>
  <si>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</si>
  <si>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</si>
  <si>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</si>
  <si>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</si>
  <si>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</si>
  <si>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</si>
  <si>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</si>
  <si>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</si>
  <si>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</si>
  <si>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</si>
  <si>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</si>
  <si>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</si>
  <si>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</si>
  <si>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</si>
  <si>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</si>
  <si>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</si>
  <si>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</si>
  <si>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</si>
  <si>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</si>
  <si>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</si>
  <si>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</si>
  <si>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</si>
  <si>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</si>
  <si>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</si>
  <si>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</si>
  <si>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</si>
  <si>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</si>
  <si>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</si>
  <si>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</si>
  <si>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</si>
  <si>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</si>
  <si>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</si>
  <si>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</si>
  <si>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</si>
  <si>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</si>
  <si>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</si>
  <si>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</si>
  <si>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</si>
  <si>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</si>
  <si>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</si>
  <si>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</si>
  <si>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</si>
  <si>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</si>
  <si>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</si>
  <si>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</si>
  <si>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</si>
  <si>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</si>
  <si>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</si>
  <si>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</si>
  <si>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</si>
  <si>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</si>
  <si>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</si>
  <si>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</si>
  <si>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</si>
  <si>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</si>
  <si>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</si>
  <si>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</si>
  <si>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</si>
  <si>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</si>
  <si>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</si>
  <si>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</si>
  <si>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</si>
  <si>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</si>
  <si>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</si>
  <si>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</si>
  <si>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</si>
  <si>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</si>
  <si>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</si>
  <si>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</si>
  <si>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</si>
  <si>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</si>
  <si>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</si>
  <si>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</si>
  <si>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</si>
  <si>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</si>
  <si>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</si>
  <si>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</si>
  <si>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</si>
  <si>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</si>
  <si>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</si>
  <si>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</si>
  <si>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</si>
  <si>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</si>
  <si>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</si>
  <si>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</si>
  <si>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</si>
  <si>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</si>
  <si>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</si>
  <si>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</si>
  <si>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</si>
  <si>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</si>
  <si>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</si>
  <si>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</si>
  <si>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</si>
  <si>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</si>
  <si>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</si>
  <si>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</si>
  <si>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</si>
  <si>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</si>
  <si>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</si>
  <si>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</si>
  <si>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</si>
  <si>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</si>
  <si>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</si>
  <si>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</si>
  <si>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</si>
  <si>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</si>
  <si>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</si>
  <si>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</si>
  <si>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</si>
  <si>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</si>
  <si>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</si>
  <si>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</si>
  <si>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</si>
  <si>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</si>
  <si>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</si>
  <si>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</si>
  <si>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</si>
  <si>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</si>
  <si>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</si>
  <si>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</si>
  <si>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</si>
  <si>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</si>
  <si>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</si>
  <si>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</si>
  <si>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</si>
  <si>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</si>
  <si>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</si>
  <si>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</si>
  <si>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</si>
  <si>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</si>
  <si>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</si>
  <si>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</si>
  <si>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</si>
  <si>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</si>
  <si>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</si>
  <si>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</si>
  <si>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</si>
  <si>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</si>
  <si>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</si>
  <si>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</si>
  <si>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</si>
  <si>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</si>
  <si>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</si>
  <si>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</si>
  <si>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</si>
  <si>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</si>
  <si>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</si>
  <si>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</si>
  <si>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</si>
  <si>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</si>
  <si>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</si>
  <si>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</si>
  <si>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</si>
  <si>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</si>
  <si>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</si>
  <si>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</si>
  <si>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</si>
  <si>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</si>
  <si>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</si>
  <si>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</si>
  <si>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</si>
  <si>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</si>
  <si>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</si>
  <si>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</si>
  <si>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</si>
  <si>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</si>
  <si>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</si>
  <si>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</si>
  <si>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</si>
  <si>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</si>
  <si>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</si>
  <si>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</si>
  <si>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</si>
  <si>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</si>
  <si>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</si>
  <si>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</si>
  <si>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</si>
  <si>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</si>
  <si>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</si>
  <si>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</si>
  <si>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</si>
  <si>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</si>
  <si>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</si>
  <si>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</si>
  <si>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</si>
  <si>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</si>
  <si>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</si>
  <si>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</si>
  <si>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</si>
  <si>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</si>
  <si>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</si>
  <si>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</si>
  <si>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</si>
  <si>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</si>
  <si>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</si>
  <si>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</si>
  <si>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</si>
  <si>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</si>
  <si>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</si>
  <si>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</si>
  <si>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</si>
  <si>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</si>
  <si>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</si>
  <si>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</si>
  <si>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</si>
  <si>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</si>
  <si>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</si>
  <si>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</si>
  <si>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</si>
  <si>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</si>
  <si>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</si>
  <si>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</si>
  <si>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</si>
  <si>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</si>
  <si>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</si>
  <si>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</si>
  <si>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</si>
  <si>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</si>
  <si>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</si>
  <si>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</si>
  <si>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</si>
  <si>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</si>
  <si>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</si>
  <si>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</si>
  <si>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</si>
  <si>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</si>
  <si>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</si>
  <si>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</si>
  <si>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</si>
  <si>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</si>
  <si>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</si>
  <si>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</si>
  <si>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</si>
  <si>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</si>
  <si>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</si>
  <si>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</si>
  <si>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</si>
  <si>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</si>
  <si>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</si>
  <si>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</si>
  <si>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</si>
  <si>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</si>
  <si>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</si>
  <si>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</si>
  <si>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</si>
  <si>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</si>
  <si>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</si>
  <si>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</si>
  <si>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</si>
  <si>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</si>
  <si>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</si>
  <si>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</si>
  <si>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</si>
  <si>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</si>
  <si>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</si>
  <si>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</si>
  <si>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</si>
  <si>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</si>
  <si>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</si>
  <si>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</si>
  <si>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</si>
  <si>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</si>
  <si>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</si>
  <si>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</si>
  <si>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</si>
  <si>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</si>
  <si>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</si>
  <si>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</si>
  <si>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</si>
  <si>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</si>
  <si>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</si>
  <si>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</si>
  <si>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</si>
  <si>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</si>
  <si>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</si>
  <si>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</si>
  <si>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</si>
  <si>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</si>
  <si>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</si>
  <si>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</si>
  <si>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</si>
  <si>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</si>
  <si>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</si>
  <si>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</si>
  <si>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</si>
  <si>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</si>
  <si>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</si>
  <si>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</si>
  <si>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</si>
  <si>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</si>
  <si>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</si>
  <si>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</si>
  <si>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</si>
  <si>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</si>
  <si>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</si>
  <si>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</si>
  <si>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</si>
  <si>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</si>
  <si>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</si>
  <si>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</si>
  <si>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</si>
  <si>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</si>
  <si>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</si>
  <si>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</si>
  <si>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</si>
  <si>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</si>
  <si>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</si>
  <si>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</si>
  <si>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</si>
  <si>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</si>
  <si>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</si>
  <si>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</si>
  <si>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</si>
  <si>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</si>
  <si>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</si>
  <si>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</si>
  <si>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</si>
  <si>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</si>
  <si>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</si>
  <si>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</si>
  <si>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</si>
  <si>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</si>
  <si>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</si>
  <si>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</si>
  <si>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</si>
  <si>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</si>
  <si>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</si>
  <si>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</si>
  <si>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</si>
  <si>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</si>
  <si>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</si>
  <si>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</si>
  <si>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</si>
  <si>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</si>
  <si>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</si>
  <si>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</si>
  <si>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</si>
  <si>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</si>
  <si>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</si>
  <si>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</si>
  <si>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</si>
  <si>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</si>
  <si>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</si>
  <si>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</si>
  <si>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</si>
  <si>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</si>
  <si>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</si>
  <si>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</si>
  <si>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</si>
  <si>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</si>
  <si>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</si>
  <si>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</si>
  <si>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</si>
  <si>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</si>
  <si>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</si>
  <si>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</si>
  <si>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</si>
  <si>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</si>
  <si>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</si>
  <si>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</si>
  <si>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</si>
  <si>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</si>
  <si>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</si>
  <si>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</si>
  <si>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</si>
  <si>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</si>
  <si>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</si>
  <si>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</si>
  <si>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</si>
  <si>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</si>
  <si>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</si>
  <si>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</si>
  <si>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</si>
  <si>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</si>
  <si>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</si>
  <si>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</si>
  <si>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</si>
  <si>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</si>
  <si>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</si>
  <si>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</si>
  <si>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</si>
  <si>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</si>
  <si>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</si>
  <si>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</si>
  <si>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</si>
  <si>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</si>
  <si>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</si>
  <si>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</si>
  <si>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</si>
  <si>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</si>
  <si>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</si>
  <si>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</si>
  <si>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</si>
  <si>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</si>
  <si>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</si>
  <si>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</si>
  <si>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</si>
  <si>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</si>
  <si>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</si>
  <si>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</si>
  <si>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</si>
  <si>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</si>
  <si>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</si>
  <si>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</si>
  <si>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</si>
  <si>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</si>
  <si>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</si>
  <si>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</si>
  <si>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</si>
  <si>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</si>
  <si>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</si>
  <si>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</si>
  <si>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</si>
  <si>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</si>
  <si>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</si>
  <si>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</si>
  <si>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</si>
  <si>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</si>
  <si>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</si>
  <si>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</si>
  <si>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</si>
  <si>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</si>
  <si>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</si>
  <si>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</si>
  <si>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</si>
  <si>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</si>
  <si>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</si>
  <si>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</si>
  <si>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</si>
  <si>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</si>
  <si>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</si>
  <si>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</si>
  <si>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</si>
  <si>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</si>
  <si>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</si>
  <si>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</si>
  <si>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</si>
  <si>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</si>
  <si>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</si>
  <si>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</si>
  <si>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</si>
  <si>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</si>
  <si>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</si>
  <si>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</si>
  <si>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</si>
  <si>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</si>
  <si>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</si>
  <si>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</si>
  <si>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</si>
  <si>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</si>
  <si>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</si>
  <si>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</si>
  <si>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</si>
  <si>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</si>
  <si>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</si>
  <si>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</si>
  <si>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</si>
  <si>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</si>
  <si>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</si>
  <si>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</si>
  <si>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</si>
  <si>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</si>
  <si>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</si>
  <si>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</si>
  <si>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</si>
  <si>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</si>
  <si>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</si>
  <si>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</si>
  <si>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</si>
  <si>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</si>
  <si>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</si>
  <si>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</si>
  <si>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</si>
  <si>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</si>
  <si>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</si>
  <si>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</si>
  <si>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</si>
  <si>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</si>
  <si>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</si>
  <si>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</si>
  <si>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</si>
  <si>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</si>
  <si>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</si>
  <si>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</si>
  <si>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</si>
  <si>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</si>
  <si>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</si>
  <si>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</si>
  <si>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</si>
  <si>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</si>
  <si>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</si>
  <si>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</si>
  <si>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</si>
  <si>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</si>
  <si>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</si>
  <si>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</si>
  <si>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</si>
  <si>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</si>
  <si>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</si>
  <si>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</si>
  <si>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</si>
  <si>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</si>
  <si>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</si>
  <si>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</si>
  <si>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</si>
  <si>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</si>
  <si>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</si>
  <si>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</si>
  <si>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</si>
  <si>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</si>
  <si>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</si>
  <si>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</si>
  <si>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</si>
  <si>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</si>
  <si>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</si>
  <si>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</si>
  <si>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</si>
  <si>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</si>
  <si>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</si>
  <si>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</si>
  <si>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</si>
  <si>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</si>
  <si>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</si>
  <si>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</si>
  <si>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</si>
  <si>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</si>
  <si>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</si>
  <si>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</si>
  <si>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</si>
  <si>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</si>
  <si>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</si>
  <si>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</si>
  <si>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</si>
  <si>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</si>
  <si>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</si>
  <si>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</si>
  <si>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</si>
  <si>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</si>
  <si>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</si>
  <si>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</si>
  <si>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</si>
  <si>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</si>
  <si>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</si>
  <si>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</si>
  <si>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</si>
  <si>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</si>
  <si>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</si>
  <si>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</si>
  <si>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</si>
  <si>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</si>
  <si>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</si>
  <si>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</si>
  <si>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</si>
  <si>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</si>
  <si>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</si>
  <si>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</si>
  <si>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</si>
  <si>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</si>
  <si>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</si>
  <si>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</si>
  <si>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</si>
  <si>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</si>
  <si>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</si>
  <si>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</si>
  <si>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</si>
  <si>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</si>
  <si>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</si>
  <si>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</si>
  <si>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</si>
  <si>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</si>
  <si>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</si>
  <si>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</si>
  <si>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</si>
  <si>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</si>
  <si>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</si>
  <si>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</si>
  <si>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</si>
  <si>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</si>
  <si>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</si>
  <si>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</si>
  <si>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</si>
  <si>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</si>
  <si>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</si>
  <si>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</si>
  <si>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</si>
  <si>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</si>
  <si>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</si>
  <si>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</si>
  <si>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</si>
  <si>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</si>
  <si>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</si>
  <si>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</si>
  <si>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</si>
  <si>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</si>
  <si>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</si>
  <si>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</si>
  <si>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</si>
  <si>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</si>
  <si>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</si>
  <si>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</si>
  <si>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</si>
  <si>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</si>
  <si>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</si>
  <si>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</si>
  <si>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</si>
  <si>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</si>
  <si>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</si>
  <si>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</si>
  <si>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</si>
  <si>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</si>
  <si>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</si>
  <si>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</si>
  <si>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</si>
  <si>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</si>
  <si>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</si>
  <si>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</si>
  <si>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</si>
  <si>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</si>
  <si>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</si>
  <si>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</si>
  <si>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</si>
  <si>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</si>
  <si>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</si>
  <si>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</si>
  <si>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</si>
  <si>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</si>
  <si>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</si>
  <si>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</si>
  <si>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</si>
  <si>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</si>
  <si>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</si>
  <si>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</si>
  <si>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</si>
  <si>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</si>
  <si>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</si>
  <si>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</si>
  <si>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</si>
  <si>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</si>
  <si>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</si>
  <si>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</si>
  <si>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</si>
  <si>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</si>
  <si>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</si>
  <si>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</si>
  <si>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</si>
  <si>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</si>
  <si>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</si>
  <si>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</si>
  <si>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</si>
  <si>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</si>
  <si>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</si>
  <si>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</si>
  <si>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</si>
  <si>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</si>
  <si>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</si>
  <si>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</si>
  <si>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</si>
  <si>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</si>
  <si>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</si>
  <si>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</si>
  <si>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</si>
  <si>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</si>
  <si>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</si>
  <si>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</si>
  <si>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</si>
  <si>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</si>
  <si>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</si>
  <si>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</si>
  <si>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</si>
  <si>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</si>
  <si>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</si>
  <si>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</si>
  <si>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</si>
  <si>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</si>
  <si>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</si>
  <si>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</si>
  <si>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</si>
  <si>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</si>
  <si>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</si>
  <si>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</si>
  <si>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</si>
  <si>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</si>
  <si>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</si>
  <si>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</si>
  <si>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</si>
  <si>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</si>
  <si>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</si>
  <si>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</si>
  <si>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</si>
  <si>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</si>
  <si>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</si>
  <si>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</si>
  <si>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</si>
  <si>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</si>
  <si>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</si>
  <si>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</si>
  <si>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</si>
  <si>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</si>
  <si>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</si>
  <si>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</si>
  <si>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</si>
  <si>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</si>
  <si>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</si>
  <si>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</si>
  <si>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</si>
  <si>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</si>
  <si>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</si>
  <si>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</si>
  <si>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</si>
  <si>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</si>
  <si>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</si>
  <si>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</si>
  <si>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</si>
  <si>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</si>
  <si>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</si>
  <si>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</si>
  <si>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</si>
  <si>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</si>
  <si>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</si>
  <si>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</si>
  <si>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</si>
  <si>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</si>
  <si>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</si>
  <si>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</si>
  <si>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</si>
  <si>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</si>
  <si>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</si>
  <si>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</si>
  <si>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</si>
  <si>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</si>
  <si>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</si>
  <si>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</si>
  <si>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</si>
  <si>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</si>
  <si>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</si>
  <si>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</si>
  <si>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</si>
  <si>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</si>
  <si>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</si>
  <si>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</si>
  <si>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</si>
  <si>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</si>
  <si>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</si>
  <si>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</si>
  <si>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</si>
  <si>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</si>
  <si>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</si>
  <si>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</si>
  <si>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</si>
  <si>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</si>
  <si>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</si>
  <si>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</si>
  <si>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</si>
  <si>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</si>
  <si>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</si>
  <si>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</si>
  <si>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</si>
  <si>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</si>
  <si>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</si>
  <si>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</si>
  <si>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</si>
  <si>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</si>
  <si>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</si>
  <si>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</si>
  <si>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</si>
  <si>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</si>
  <si>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</si>
  <si>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</si>
  <si>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</si>
  <si>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</si>
  <si>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</si>
  <si>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</si>
  <si>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</si>
  <si>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</si>
  <si>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</si>
  <si>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</si>
  <si>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</si>
  <si>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</si>
  <si>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</si>
  <si>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</si>
  <si>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</si>
  <si>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</si>
  <si>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</si>
  <si>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</si>
  <si>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</si>
  <si>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</si>
  <si>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</si>
  <si>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</si>
  <si>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</si>
  <si>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</si>
  <si>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</si>
  <si>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</si>
  <si>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</si>
  <si>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</si>
  <si>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</si>
  <si>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</si>
  <si>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</si>
  <si>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</si>
  <si>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</si>
  <si>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</si>
  <si>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</si>
  <si>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</si>
  <si>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</si>
  <si>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</si>
  <si>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</si>
  <si>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</si>
  <si>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</si>
  <si>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</si>
  <si>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</si>
  <si>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</si>
  <si>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</si>
  <si>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</si>
  <si>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</si>
  <si>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</si>
  <si>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</si>
  <si>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</si>
  <si>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</si>
  <si>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</si>
  <si>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</si>
  <si>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</si>
  <si>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</si>
  <si>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</si>
  <si>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</si>
  <si>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</si>
  <si>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</si>
  <si>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</si>
  <si>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</si>
  <si>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</si>
  <si>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</si>
  <si>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</si>
  <si>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</si>
  <si>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</si>
  <si>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</si>
  <si>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</si>
  <si>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</si>
  <si>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</si>
  <si>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</si>
  <si>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</si>
  <si>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</si>
  <si>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</si>
  <si>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</si>
  <si>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</si>
  <si>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</si>
  <si>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</si>
  <si>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</si>
  <si>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</si>
  <si>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</si>
  <si>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</si>
  <si>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</si>
  <si>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</si>
  <si>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</si>
  <si>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</si>
  <si>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</si>
  <si>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</si>
  <si>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</si>
  <si>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</si>
  <si>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</si>
  <si>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</si>
  <si>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</si>
  <si>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</si>
  <si>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</si>
  <si>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</si>
  <si>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</si>
  <si>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</si>
  <si>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</si>
  <si>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</si>
  <si>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</si>
  <si>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</si>
  <si>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</si>
  <si>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</si>
  <si>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</si>
  <si>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</si>
  <si>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</si>
  <si>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</si>
  <si>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</si>
  <si>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</si>
  <si>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</si>
  <si>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</si>
  <si>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</si>
  <si>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</si>
  <si>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</si>
  <si>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</si>
  <si>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</si>
  <si>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</si>
  <si>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</si>
  <si>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</si>
  <si>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</si>
  <si>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</si>
  <si>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</si>
  <si>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</si>
  <si>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</si>
  <si>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</si>
  <si>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</si>
  <si>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</si>
  <si>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</si>
  <si>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</si>
  <si>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</si>
  <si>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</si>
  <si>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</si>
  <si>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</si>
  <si>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</si>
  <si>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</si>
  <si>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</si>
  <si>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</si>
  <si>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</si>
  <si>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</si>
  <si>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</si>
  <si>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</si>
  <si>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</si>
  <si>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</si>
  <si>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</si>
  <si>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</si>
  <si>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</si>
  <si>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</si>
  <si>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</si>
  <si>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</si>
  <si>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</si>
  <si>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</si>
  <si>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</si>
  <si>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</si>
  <si>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</si>
  <si>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</si>
  <si>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</si>
  <si>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</si>
  <si>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</si>
  <si>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</si>
  <si>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</si>
  <si>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</si>
  <si>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</si>
  <si>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</si>
  <si>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</si>
  <si>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</si>
  <si>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</si>
  <si>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</si>
  <si>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</si>
  <si>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</si>
  <si>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</si>
  <si>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</si>
  <si>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</si>
  <si>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</si>
  <si>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</si>
  <si>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</si>
  <si>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</si>
  <si>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</si>
  <si>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</si>
  <si>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</si>
  <si>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</si>
  <si>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</si>
  <si>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</si>
  <si>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</si>
  <si>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</si>
  <si>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</si>
  <si>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</si>
  <si>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</si>
  <si>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</si>
  <si>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</si>
  <si>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</si>
  <si>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</si>
  <si>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</si>
  <si>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</si>
  <si>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</si>
  <si>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</si>
  <si>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</si>
  <si>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</si>
  <si>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</si>
  <si>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</si>
  <si>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</si>
  <si>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</si>
  <si>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</si>
  <si>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</si>
  <si>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</si>
  <si>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</si>
  <si>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</si>
  <si>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</si>
  <si>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</si>
  <si>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</si>
  <si>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</si>
  <si>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</si>
  <si>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</si>
  <si>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</si>
  <si>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</si>
  <si>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</si>
  <si>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</si>
  <si>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</si>
  <si>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</si>
  <si>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</si>
  <si>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</si>
  <si>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</si>
  <si>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</si>
  <si>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</si>
  <si>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</si>
  <si>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</si>
  <si>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</si>
  <si>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</si>
  <si>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</si>
  <si>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</si>
  <si>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</si>
  <si>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</si>
  <si>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</si>
  <si>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</si>
  <si>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</si>
  <si>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</si>
  <si>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</si>
  <si>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</si>
  <si>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</si>
  <si>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</si>
  <si>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</si>
  <si>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</si>
  <si>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</si>
  <si>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</si>
  <si>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</si>
  <si>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</si>
  <si>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</si>
  <si>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</si>
  <si>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</si>
  <si>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</si>
  <si>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</si>
  <si>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</si>
  <si>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</si>
  <si>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</si>
  <si>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</si>
  <si>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</si>
  <si>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</si>
  <si>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</si>
  <si>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</si>
  <si>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</si>
  <si>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</si>
  <si>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</si>
  <si>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</si>
  <si>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</si>
  <si>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</si>
  <si>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</si>
  <si>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</si>
  <si>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</si>
  <si>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</si>
  <si>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</si>
  <si>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</si>
  <si>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</si>
  <si>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</si>
  <si>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</si>
  <si>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</si>
  <si>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</si>
  <si>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</si>
  <si>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</si>
  <si>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</si>
  <si>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</si>
  <si>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</si>
  <si>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</si>
  <si>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</si>
  <si>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</si>
  <si>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</si>
  <si>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</si>
  <si>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</si>
  <si>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</si>
  <si>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</si>
  <si>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</si>
  <si>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</si>
  <si>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</si>
  <si>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</si>
  <si>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</si>
  <si>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</si>
  <si>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</si>
  <si>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</si>
  <si>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</si>
  <si>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</si>
  <si>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</si>
  <si>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</si>
  <si>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</si>
  <si>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</si>
  <si>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</si>
  <si>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</si>
  <si>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</si>
  <si>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</si>
  <si>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</si>
  <si>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</si>
  <si>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</si>
  <si>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</si>
  <si>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</si>
  <si>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</si>
  <si>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</si>
  <si>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</si>
  <si>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</si>
  <si>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</si>
  <si>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</si>
  <si>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</si>
  <si>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</si>
  <si>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</si>
  <si>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</si>
  <si>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</si>
  <si>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</si>
  <si>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</si>
  <si>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</si>
  <si>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</si>
  <si>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</si>
  <si>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</si>
  <si>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</si>
  <si>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</si>
  <si>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</si>
  <si>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</si>
  <si>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</si>
  <si>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</si>
  <si>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</si>
  <si>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</si>
  <si>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</si>
  <si>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</si>
  <si>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</si>
  <si>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</si>
  <si>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</si>
  <si>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</si>
  <si>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</si>
  <si>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</si>
  <si>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</si>
  <si>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</si>
  <si>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</si>
  <si>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</si>
  <si>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</si>
  <si>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</si>
  <si>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</si>
  <si>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</si>
  <si>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</si>
  <si>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</si>
  <si>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</si>
  <si>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</si>
  <si>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</si>
  <si>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</si>
  <si>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</si>
  <si>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</si>
  <si>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</si>
  <si>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</si>
  <si>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</si>
  <si>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</si>
  <si>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</si>
  <si>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</si>
  <si>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</si>
  <si>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</si>
  <si>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</si>
  <si>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</si>
  <si>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</si>
  <si>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</si>
  <si>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</si>
  <si>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</si>
  <si>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</si>
  <si>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</si>
  <si>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</si>
  <si>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</si>
  <si>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</si>
  <si>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</si>
  <si>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</si>
  <si>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</si>
  <si>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</si>
  <si>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</si>
  <si>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</si>
  <si>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</si>
  <si>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</si>
  <si>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</si>
  <si>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</si>
  <si>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</si>
  <si>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</si>
  <si>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</si>
  <si>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</si>
  <si>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</si>
  <si>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</si>
  <si>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</si>
  <si>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</si>
  <si>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</si>
  <si>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</si>
  <si>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</si>
  <si>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</si>
  <si>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</si>
  <si>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</si>
  <si>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</si>
  <si>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</si>
  <si>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</si>
  <si>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</si>
  <si>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</si>
  <si>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</si>
  <si>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</si>
  <si>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</si>
  <si>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</si>
  <si>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</si>
  <si>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</si>
  <si>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</si>
  <si>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</si>
  <si>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</si>
  <si>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</si>
  <si>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</si>
  <si>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</si>
  <si>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</si>
  <si>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</si>
  <si>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</si>
  <si>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</si>
  <si>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</si>
  <si>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</si>
  <si>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</si>
  <si>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</si>
  <si>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</si>
  <si>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</si>
  <si>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</si>
  <si>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</si>
  <si>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</si>
  <si>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</si>
  <si>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</si>
  <si>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</si>
  <si>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</si>
  <si>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</si>
  <si>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</si>
  <si>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</si>
  <si>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</si>
  <si>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</si>
  <si>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</si>
  <si>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</si>
  <si>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</si>
  <si>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</si>
  <si>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</si>
  <si>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</si>
  <si>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</si>
  <si>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</si>
  <si>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</si>
  <si>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</si>
  <si>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</si>
  <si>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</si>
  <si>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</si>
  <si>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</si>
  <si>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</si>
  <si>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</si>
  <si>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</si>
  <si>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</si>
  <si>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</si>
  <si>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</si>
  <si>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</si>
  <si>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</si>
  <si>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</si>
  <si>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</si>
  <si>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</si>
  <si>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</si>
  <si>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</si>
  <si>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</si>
  <si>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</si>
  <si>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</si>
  <si>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</si>
  <si>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</si>
  <si>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</si>
  <si>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</si>
  <si>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</si>
  <si>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</si>
  <si>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</si>
  <si>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</si>
  <si>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</si>
  <si>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</si>
  <si>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</si>
  <si>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</si>
  <si>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</si>
  <si>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</si>
  <si>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</si>
  <si>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</si>
  <si>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</si>
  <si>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</si>
  <si>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</si>
  <si>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</si>
  <si>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</si>
  <si>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</si>
  <si>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</si>
  <si>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</si>
  <si>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</si>
  <si>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</si>
  <si>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</si>
  <si>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</si>
  <si>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</si>
  <si>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</si>
  <si>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</si>
  <si>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</si>
  <si>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</si>
  <si>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</si>
  <si>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</si>
  <si>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</si>
  <si>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</si>
  <si>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</si>
  <si>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</si>
  <si>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</si>
  <si>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</si>
  <si>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</si>
  <si>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</si>
  <si>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</si>
  <si>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</si>
  <si>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</si>
  <si>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</si>
  <si>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</si>
  <si>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</si>
  <si>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</si>
  <si>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</si>
  <si>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</si>
  <si>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</si>
  <si>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</si>
  <si>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</si>
  <si>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</si>
  <si>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</si>
  <si>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</si>
  <si>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</si>
  <si>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</si>
  <si>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</si>
  <si>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</si>
  <si>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</si>
  <si>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</si>
  <si>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</si>
  <si>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</si>
  <si>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</si>
  <si>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</si>
  <si>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</si>
  <si>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</si>
  <si>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</si>
  <si>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</si>
  <si>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</si>
  <si>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</si>
  <si>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</si>
  <si>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</si>
  <si>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</si>
  <si>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</si>
  <si>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</si>
  <si>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</si>
  <si>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</si>
  <si>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</si>
  <si>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</si>
  <si>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</si>
  <si>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</si>
  <si>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</si>
  <si>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</si>
  <si>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</si>
  <si>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</si>
  <si>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</si>
  <si>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</si>
  <si>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</si>
  <si>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</si>
  <si>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</si>
  <si>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</si>
  <si>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</si>
  <si>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</si>
  <si>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</si>
  <si>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</si>
  <si>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</si>
  <si>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</si>
  <si>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</si>
  <si>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</si>
  <si>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</si>
  <si>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</si>
  <si>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</si>
  <si>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</si>
  <si>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</si>
  <si>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</si>
  <si>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</si>
  <si>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</si>
  <si>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</si>
  <si>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</si>
  <si>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</si>
  <si>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</si>
  <si>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</si>
  <si>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</si>
  <si>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</si>
  <si>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</si>
  <si>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</si>
  <si>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</si>
  <si>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</si>
  <si>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</si>
  <si>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</si>
  <si>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</si>
  <si>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</si>
  <si>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</si>
  <si>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</si>
  <si>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</si>
  <si>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</si>
  <si>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</si>
  <si>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</si>
  <si>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</si>
  <si>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</si>
  <si>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</si>
  <si>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</si>
  <si>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</si>
  <si>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</si>
  <si>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</si>
  <si>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</si>
  <si>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</si>
  <si>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</si>
  <si>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</si>
  <si>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</si>
  <si>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</si>
  <si>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</si>
  <si>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</si>
  <si>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</si>
  <si>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</si>
  <si>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</si>
  <si>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</si>
  <si>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</si>
  <si>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</si>
  <si>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</si>
  <si>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</si>
  <si>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</si>
  <si>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</si>
  <si>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</si>
  <si>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</si>
  <si>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</si>
  <si>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</si>
  <si>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</si>
  <si>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</si>
  <si>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</si>
  <si>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</si>
  <si>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</si>
  <si>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</si>
  <si>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</si>
  <si>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</si>
  <si>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</si>
  <si>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</si>
  <si>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</si>
  <si>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</si>
  <si>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</si>
  <si>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</si>
  <si>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</si>
  <si>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</si>
  <si>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</si>
  <si>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</si>
  <si>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</si>
  <si>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</si>
  <si>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</si>
  <si>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</si>
  <si>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</si>
  <si>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</si>
  <si>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</si>
  <si>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</si>
  <si>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</si>
  <si>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</si>
  <si>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</si>
  <si>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</si>
  <si>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</si>
  <si>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</si>
  <si>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</si>
  <si>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</si>
  <si>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</si>
  <si>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</si>
  <si>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</si>
  <si>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</si>
  <si>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</si>
  <si>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</si>
  <si>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</si>
  <si>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</si>
  <si>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</si>
  <si>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</si>
  <si>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</si>
  <si>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</si>
  <si>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</si>
  <si>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</si>
  <si>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</si>
  <si>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</si>
  <si>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</si>
  <si>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</si>
  <si>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</si>
  <si>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</si>
  <si>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</si>
  <si>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</si>
  <si>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</si>
  <si>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</si>
  <si>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</si>
  <si>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</si>
  <si>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</si>
  <si>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</si>
  <si>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</si>
  <si>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</si>
  <si>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</si>
  <si>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</si>
  <si>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</si>
  <si>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</si>
  <si>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</si>
  <si>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</si>
  <si>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</si>
  <si>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</si>
  <si>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</si>
  <si>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</si>
  <si>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</si>
  <si>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</si>
  <si>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</si>
  <si>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</si>
  <si>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</si>
  <si>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</si>
  <si>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</si>
  <si>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</si>
  <si>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</si>
  <si>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</si>
  <si>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</si>
  <si>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</si>
  <si>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</si>
  <si>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</si>
  <si>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</si>
  <si>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</si>
  <si>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</si>
  <si>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</si>
  <si>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</si>
  <si>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</si>
  <si>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</si>
  <si>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</si>
  <si>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</si>
  <si>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</si>
  <si>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</si>
  <si>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</si>
  <si>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</si>
  <si>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</si>
  <si>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</si>
  <si>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</si>
  <si>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</si>
  <si>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</si>
  <si>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</si>
  <si>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</si>
  <si>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</si>
  <si>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</si>
  <si>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</si>
  <si>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</si>
  <si>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</si>
  <si>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</si>
  <si>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</si>
  <si>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</si>
  <si>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</si>
  <si>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</si>
  <si>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</si>
  <si>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</si>
  <si>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</si>
  <si>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</si>
  <si>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</si>
  <si>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</si>
  <si>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</si>
  <si>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</si>
  <si>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</si>
  <si>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</si>
  <si>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</si>
  <si>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</si>
  <si>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</si>
  <si>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</si>
  <si>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</si>
  <si>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</si>
  <si>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</si>
  <si>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</si>
  <si>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</si>
  <si>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</si>
  <si>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</si>
  <si>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</si>
  <si>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</si>
  <si>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</si>
  <si>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</si>
  <si>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</si>
  <si>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</si>
  <si>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</si>
  <si>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</si>
  <si>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</si>
  <si>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</si>
  <si>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</si>
  <si>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</si>
  <si>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</si>
  <si>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</si>
  <si>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</si>
  <si>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</si>
  <si>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</si>
  <si>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</si>
  <si>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</si>
  <si>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</si>
  <si>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</si>
  <si>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</si>
  <si>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</si>
  <si>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</si>
  <si>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</si>
  <si>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</si>
  <si>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</si>
  <si>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</si>
  <si>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</si>
  <si>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</si>
  <si>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</si>
  <si>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</si>
  <si>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</si>
  <si>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</si>
  <si>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</si>
  <si>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</si>
  <si>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</si>
  <si>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</si>
  <si>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</si>
  <si>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</si>
  <si>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</si>
  <si>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</si>
  <si>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</si>
  <si>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</si>
  <si>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</si>
  <si>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</si>
  <si>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</si>
  <si>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</si>
  <si>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</si>
  <si>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</si>
  <si>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</si>
  <si>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</si>
  <si>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</si>
  <si>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</si>
  <si>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</si>
  <si>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</si>
  <si>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</si>
  <si>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</si>
  <si>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</si>
  <si>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</si>
  <si>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</si>
  <si>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</si>
  <si>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</si>
  <si>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</si>
  <si>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</si>
  <si>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</si>
  <si>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</si>
  <si>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</si>
  <si>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</si>
  <si>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</si>
  <si>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</si>
  <si>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</si>
  <si>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</si>
  <si>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</si>
  <si>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</si>
  <si>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</si>
  <si>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</si>
  <si>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</si>
  <si>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</si>
  <si>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</si>
  <si>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</si>
  <si>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</si>
  <si>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</si>
  <si>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</si>
  <si>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</si>
  <si>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</si>
  <si>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</si>
  <si>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</si>
  <si>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</si>
  <si>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</si>
  <si>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</si>
  <si>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</si>
  <si>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</si>
  <si>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</si>
  <si>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</si>
  <si>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</si>
  <si>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</si>
  <si>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</si>
  <si>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</si>
  <si>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</si>
  <si>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</si>
  <si>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</si>
  <si>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</si>
  <si>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</si>
  <si>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</si>
  <si>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</si>
  <si>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</si>
  <si>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</si>
  <si>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</si>
  <si>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</si>
  <si>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</si>
  <si>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</si>
  <si>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</si>
  <si>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</si>
  <si>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</si>
  <si>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</si>
  <si>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</si>
  <si>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</si>
  <si>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</si>
  <si>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</si>
  <si>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</si>
  <si>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</si>
  <si>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</si>
  <si>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</si>
  <si>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</si>
  <si>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</si>
  <si>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</si>
  <si>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</si>
  <si>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</si>
  <si>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</si>
  <si>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</si>
  <si>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</si>
  <si>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</si>
  <si>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</si>
  <si>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</si>
  <si>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</si>
  <si>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</si>
  <si>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</si>
  <si>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</si>
  <si>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</si>
  <si>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</si>
  <si>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</si>
  <si>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</si>
  <si>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</si>
  <si>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</si>
  <si>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</si>
  <si>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</si>
  <si>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</si>
  <si>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</si>
  <si>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</si>
  <si>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</si>
  <si>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</si>
  <si>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</si>
  <si>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</si>
  <si>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</si>
  <si>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</si>
  <si>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</si>
  <si>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</si>
  <si>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</si>
  <si>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</si>
  <si>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</si>
  <si>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</si>
  <si>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</si>
  <si>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</si>
  <si>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</si>
  <si>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</si>
  <si>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</si>
  <si>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</si>
  <si>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</si>
  <si>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</si>
  <si>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</si>
  <si>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</si>
  <si>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</si>
  <si>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</si>
  <si>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</si>
  <si>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</si>
  <si>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</si>
  <si>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</si>
  <si>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</si>
  <si>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</si>
  <si>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</si>
  <si>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</si>
  <si>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</si>
  <si>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</si>
  <si>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</si>
  <si>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</si>
  <si>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</si>
  <si>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</si>
  <si>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</si>
  <si>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</si>
  <si>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</si>
  <si>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</si>
  <si>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</si>
  <si>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</si>
  <si>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</si>
  <si>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</si>
  <si>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</si>
  <si>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</si>
  <si>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</si>
  <si>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</si>
  <si>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</si>
  <si>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</si>
  <si>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</si>
  <si>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</si>
  <si>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</si>
  <si>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</si>
  <si>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</si>
  <si>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</si>
  <si>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</si>
  <si>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</si>
  <si>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</si>
  <si>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</si>
  <si>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</si>
  <si>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</si>
  <si>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</si>
  <si>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</si>
  <si>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</si>
  <si>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</si>
  <si>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</si>
  <si>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</si>
  <si>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</si>
  <si>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</si>
  <si>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</si>
  <si>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</si>
  <si>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</si>
  <si>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</si>
  <si>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</si>
  <si>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</si>
  <si>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</si>
  <si>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</si>
  <si>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</si>
  <si>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</si>
  <si>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</si>
  <si>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</si>
  <si>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</si>
  <si>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</si>
  <si>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</si>
  <si>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</si>
  <si>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</si>
  <si>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</si>
  <si>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</si>
  <si>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</si>
  <si>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</si>
  <si>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</si>
  <si>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</si>
  <si>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</si>
  <si>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</si>
  <si>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</si>
  <si>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</si>
  <si>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</si>
  <si>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</si>
  <si>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</si>
  <si>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</si>
  <si>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</si>
  <si>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</si>
  <si>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</si>
  <si>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</si>
  <si>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</si>
  <si>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</si>
  <si>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</si>
  <si>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</si>
  <si>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</si>
  <si>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</si>
  <si>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</si>
  <si>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</si>
  <si>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</si>
  <si>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</si>
  <si>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</si>
  <si>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</si>
  <si>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</si>
  <si>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</si>
  <si>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</si>
  <si>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</si>
  <si>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</si>
  <si>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</si>
  <si>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</si>
  <si>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</si>
  <si>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</si>
  <si>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</si>
  <si>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</si>
  <si>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</si>
  <si>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</si>
  <si>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</si>
  <si>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</si>
  <si>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</si>
  <si>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</si>
  <si>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</si>
  <si>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</si>
  <si>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</si>
  <si>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</si>
  <si>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</si>
  <si>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</si>
  <si>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</si>
  <si>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</si>
  <si>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</si>
  <si>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</si>
  <si>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</si>
  <si>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</si>
  <si>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</si>
  <si>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</si>
  <si>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</si>
  <si>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</si>
  <si>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</si>
  <si>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</si>
  <si>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</si>
  <si>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</si>
  <si>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</si>
  <si>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</si>
  <si>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</si>
  <si>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</si>
  <si>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</si>
  <si>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</si>
  <si>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</si>
  <si>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</si>
  <si>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</si>
  <si>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</si>
  <si>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</si>
  <si>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</si>
  <si>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</si>
  <si>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</si>
  <si>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</si>
  <si>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</si>
  <si>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</si>
  <si>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</si>
  <si>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</si>
  <si>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</si>
  <si>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</si>
  <si>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</si>
  <si>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</si>
  <si>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</si>
  <si>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</si>
  <si>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</si>
  <si>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</si>
  <si>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</si>
  <si>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</si>
  <si>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</si>
  <si>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</si>
  <si>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</si>
  <si>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</si>
  <si>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</si>
  <si>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</si>
  <si>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</si>
  <si>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</si>
  <si>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</si>
  <si>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</si>
  <si>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</si>
  <si>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</si>
  <si>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</si>
  <si>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</si>
  <si>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</si>
  <si>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</si>
  <si>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</si>
  <si>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</si>
  <si>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</si>
  <si>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</si>
  <si>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</si>
  <si>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</si>
  <si>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</si>
  <si>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</si>
  <si>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</si>
  <si>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</si>
  <si>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</si>
  <si>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</si>
  <si>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</si>
  <si>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</si>
  <si>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</si>
  <si>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</si>
  <si>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</si>
  <si>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</si>
  <si>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</si>
  <si>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</si>
  <si>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</si>
  <si>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</si>
  <si>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</si>
  <si>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</si>
  <si>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</si>
  <si>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</si>
  <si>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</si>
  <si>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</si>
  <si>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</si>
  <si>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</si>
  <si>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</si>
  <si>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</si>
  <si>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</si>
  <si>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</si>
  <si>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</si>
  <si>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</si>
  <si>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</si>
  <si>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</si>
  <si>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</si>
  <si>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</si>
  <si>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</si>
  <si>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</si>
  <si>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</si>
  <si>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</si>
  <si>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</si>
  <si>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</si>
  <si>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</si>
  <si>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</si>
  <si>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</si>
  <si>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</si>
  <si>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</si>
  <si>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</si>
  <si>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</si>
  <si>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</si>
  <si>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</si>
  <si>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</si>
  <si>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</si>
  <si>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</si>
  <si>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</si>
  <si>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</si>
  <si>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</si>
  <si>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</si>
  <si>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</si>
  <si>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</si>
  <si>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</si>
  <si>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</si>
  <si>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</si>
  <si>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</si>
  <si>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</si>
  <si>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</si>
  <si>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</si>
  <si>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</si>
  <si>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</si>
  <si>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</si>
  <si>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</si>
  <si>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</si>
  <si>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</si>
  <si>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</si>
  <si>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</si>
  <si>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</si>
  <si>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</si>
  <si>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</si>
  <si>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</si>
  <si>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</si>
  <si>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</si>
  <si>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</si>
  <si>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</si>
  <si>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</si>
  <si>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</si>
  <si>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</si>
  <si>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</si>
  <si>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</si>
  <si>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</si>
  <si>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</si>
  <si>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</si>
  <si>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</si>
  <si>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</si>
  <si>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</si>
  <si>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</si>
  <si>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</si>
  <si>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</si>
  <si>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</si>
  <si>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</si>
  <si>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</si>
  <si>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</si>
  <si>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</si>
  <si>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</si>
  <si>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</si>
  <si>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</si>
  <si>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</si>
  <si>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</si>
  <si>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</si>
  <si>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</si>
  <si>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</si>
  <si>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</si>
  <si>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</si>
  <si>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</si>
  <si>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</si>
  <si>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</si>
  <si>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</si>
  <si>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</si>
  <si>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</si>
  <si>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</si>
  <si>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</si>
  <si>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</si>
  <si>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</si>
  <si>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</si>
  <si>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</si>
  <si>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</si>
  <si>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</si>
  <si>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</si>
  <si>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</si>
  <si>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</si>
  <si>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</si>
  <si>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</si>
  <si>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</si>
  <si>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</si>
  <si>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</si>
  <si>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</si>
  <si>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</si>
  <si>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</si>
  <si>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</si>
  <si>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</si>
  <si>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</si>
  <si>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</si>
  <si>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</si>
  <si>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</si>
  <si>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</si>
  <si>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</si>
  <si>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</si>
  <si>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</si>
  <si>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</si>
  <si>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</si>
  <si>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</si>
  <si>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</si>
  <si>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</si>
  <si>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</si>
  <si>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</si>
  <si>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</si>
  <si>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</si>
  <si>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</si>
  <si>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</si>
  <si>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</si>
  <si>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</si>
  <si>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</si>
  <si>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</si>
  <si>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</si>
  <si>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</si>
  <si>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</si>
  <si>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</si>
  <si>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</si>
  <si>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</si>
  <si>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</si>
  <si>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</si>
  <si>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</si>
  <si>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</si>
  <si>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</si>
  <si>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</si>
  <si>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</si>
  <si>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</si>
  <si>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</si>
  <si>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</si>
  <si>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</si>
  <si>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</si>
  <si>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</si>
  <si>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</si>
  <si>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</si>
  <si>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</si>
  <si>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</si>
  <si>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</si>
  <si>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</si>
  <si>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</si>
  <si>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</si>
  <si>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</si>
  <si>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</si>
  <si>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</si>
  <si>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</si>
  <si>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</si>
  <si>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</si>
  <si>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</si>
  <si>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</si>
  <si>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</si>
  <si>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</si>
  <si>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</si>
  <si>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</si>
  <si>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</si>
  <si>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</si>
  <si>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</si>
  <si>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</si>
  <si>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</si>
  <si>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</si>
  <si>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</si>
  <si>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</si>
  <si>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</si>
  <si>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</si>
  <si>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</si>
  <si>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</si>
  <si>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</si>
  <si>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</si>
  <si>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</si>
  <si>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</si>
  <si>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</si>
  <si>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</si>
  <si>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</si>
  <si>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</si>
  <si>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</si>
  <si>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</si>
  <si>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</si>
  <si>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</si>
  <si>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</si>
  <si>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</si>
  <si>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</si>
  <si>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</si>
  <si>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</si>
  <si>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</si>
  <si>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</si>
  <si>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</si>
  <si>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</si>
  <si>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</si>
  <si>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</si>
  <si>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</si>
  <si>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</si>
  <si>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</si>
  <si>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</si>
  <si>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</si>
  <si>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</si>
  <si>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</si>
  <si>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</si>
  <si>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</si>
  <si>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</si>
  <si>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</si>
  <si>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</si>
  <si>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</si>
  <si>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</si>
  <si>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</si>
  <si>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</si>
  <si>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</si>
  <si>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</si>
  <si>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</si>
  <si>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</si>
  <si>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</si>
  <si>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</si>
  <si>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</si>
  <si>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</si>
  <si>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</si>
  <si>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</si>
  <si>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</si>
  <si>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</si>
  <si>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</si>
  <si>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</si>
  <si>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</si>
  <si>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</si>
  <si>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</si>
  <si>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</si>
  <si>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</si>
  <si>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</si>
  <si>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</si>
  <si>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</si>
  <si>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</si>
  <si>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</si>
  <si>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</si>
  <si>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</si>
  <si>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</si>
  <si>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</si>
  <si>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</si>
  <si>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</si>
  <si>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</si>
  <si>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</si>
  <si>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</si>
  <si>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</si>
  <si>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</si>
  <si>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</si>
  <si>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</si>
  <si>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</si>
  <si>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</si>
  <si>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</si>
  <si>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</si>
  <si>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</si>
  <si>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</si>
  <si>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</si>
  <si>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</si>
  <si>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</si>
  <si>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</si>
  <si>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</si>
  <si>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</si>
  <si>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</si>
  <si>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</si>
  <si>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</si>
  <si>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</si>
  <si>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</si>
  <si>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</si>
  <si>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</si>
  <si>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</si>
  <si>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</si>
  <si>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</si>
  <si>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</si>
  <si>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</si>
  <si>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</si>
  <si>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</si>
  <si>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</si>
  <si>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</si>
  <si>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</si>
  <si>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</si>
  <si>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</si>
  <si>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</si>
  <si>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</si>
  <si>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</si>
  <si>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</si>
  <si>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</si>
  <si>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</si>
  <si>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</si>
  <si>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</si>
  <si>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</si>
  <si>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</si>
  <si>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</si>
  <si>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</si>
  <si>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</si>
  <si>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</si>
  <si>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</si>
  <si>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</si>
  <si>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</si>
  <si>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</si>
  <si>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</si>
  <si>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</si>
  <si>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</si>
  <si>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</si>
  <si>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</si>
  <si>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</si>
  <si>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</si>
  <si>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</si>
  <si>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</si>
  <si>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</si>
  <si>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</si>
  <si>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</si>
  <si>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</si>
  <si>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</si>
  <si>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</si>
  <si>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</si>
  <si>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</si>
  <si>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</si>
  <si>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</si>
  <si>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</si>
  <si>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</si>
  <si>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</si>
  <si>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</si>
  <si>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</si>
  <si>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</si>
  <si>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</si>
  <si>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</si>
  <si>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</si>
  <si>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</si>
  <si>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</si>
  <si>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</si>
  <si>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</si>
  <si>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</si>
  <si>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</si>
  <si>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</si>
  <si>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</si>
  <si>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</si>
  <si>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</si>
  <si>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</si>
  <si>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</si>
  <si>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</si>
  <si>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</si>
  <si>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</si>
  <si>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</si>
  <si>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</si>
  <si>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</si>
  <si>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</si>
  <si>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</si>
  <si>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</si>
  <si>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</si>
  <si>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</si>
  <si>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</si>
  <si>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</si>
  <si>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</si>
  <si>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</si>
  <si>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</si>
  <si>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</si>
  <si>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</si>
  <si>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</si>
  <si>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</si>
  <si>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</si>
  <si>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</si>
  <si>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</si>
  <si>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</si>
  <si>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</si>
  <si>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</si>
  <si>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</si>
  <si>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</si>
  <si>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</si>
  <si>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</si>
  <si>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</si>
  <si>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</si>
  <si>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</si>
  <si>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</si>
  <si>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</si>
  <si>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</si>
  <si>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</si>
  <si>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</si>
  <si>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</si>
  <si>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</si>
  <si>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</si>
  <si>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</si>
  <si>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</si>
  <si>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</si>
  <si>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</si>
  <si>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</si>
  <si>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</si>
  <si>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</si>
  <si>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</si>
  <si>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</si>
  <si>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</si>
  <si>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</si>
  <si>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</si>
  <si>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</si>
  <si>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</si>
  <si>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</si>
  <si>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</si>
  <si>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</si>
  <si>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</si>
  <si>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</si>
  <si>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</si>
  <si>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</si>
  <si>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</si>
  <si>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</si>
  <si>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</si>
  <si>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</si>
  <si>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</si>
  <si>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</si>
  <si>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</si>
  <si>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</si>
  <si>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</si>
  <si>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</si>
  <si>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</si>
  <si>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</si>
  <si>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</si>
  <si>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</si>
  <si>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</si>
  <si>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</si>
  <si>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</si>
  <si>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</si>
  <si>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</si>
  <si>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</si>
  <si>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</si>
  <si>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</si>
  <si>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</si>
  <si>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</si>
  <si>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</si>
  <si>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</si>
  <si>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</si>
  <si>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</si>
  <si>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</si>
  <si>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</si>
  <si>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</si>
  <si>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</si>
  <si>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</si>
  <si>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</si>
  <si>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</si>
  <si>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</si>
  <si>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</si>
  <si>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</si>
  <si>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</si>
  <si>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</si>
  <si>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</si>
  <si>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</si>
  <si>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</si>
  <si>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</si>
  <si>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</si>
  <si>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</si>
  <si>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</si>
  <si>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</si>
  <si>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</si>
  <si>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</si>
  <si>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</si>
  <si>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</si>
  <si>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</si>
  <si>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</si>
  <si>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</si>
  <si>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</si>
  <si>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</si>
  <si>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</si>
  <si>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</si>
  <si>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</si>
  <si>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</si>
  <si>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</si>
  <si>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</si>
  <si>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</si>
  <si>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</si>
  <si>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</si>
  <si>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</si>
  <si>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</si>
  <si>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</si>
  <si>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</si>
  <si>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</si>
  <si>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</si>
  <si>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</si>
  <si>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</si>
  <si>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</si>
  <si>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</si>
  <si>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</si>
  <si>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</si>
  <si>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</si>
  <si>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</si>
  <si>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</si>
  <si>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</si>
  <si>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</si>
  <si>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</si>
  <si>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</si>
  <si>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</si>
  <si>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</si>
  <si>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</si>
  <si>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</si>
  <si>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</si>
  <si>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</si>
  <si>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</si>
  <si>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</si>
  <si>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</si>
  <si>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</si>
  <si>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</si>
  <si>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</si>
  <si>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</si>
  <si>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</si>
  <si>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</si>
  <si>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</si>
  <si>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</si>
  <si>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</si>
  <si>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</si>
  <si>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</si>
  <si>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</si>
  <si>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</si>
  <si>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</si>
  <si>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</si>
  <si>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</si>
  <si>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</si>
  <si>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</si>
  <si>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</si>
  <si>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</si>
  <si>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</si>
  <si>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</si>
  <si>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</si>
  <si>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</si>
  <si>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</si>
  <si>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</si>
  <si>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</si>
  <si>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</si>
  <si>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</si>
  <si>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</si>
  <si>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</si>
  <si>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</si>
  <si>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</si>
  <si>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</si>
  <si>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</si>
  <si>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</si>
  <si>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</si>
  <si>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</si>
  <si>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</si>
  <si>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</si>
  <si>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</si>
  <si>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</si>
  <si>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</si>
  <si>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</si>
  <si>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</si>
  <si>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</si>
  <si>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</si>
  <si>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</si>
  <si>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</si>
  <si>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</si>
  <si>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</si>
  <si>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</si>
  <si>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</si>
  <si>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</si>
  <si>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</si>
  <si>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</si>
  <si>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</si>
  <si>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</si>
  <si>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</si>
  <si>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</si>
  <si>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</si>
  <si>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</si>
  <si>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</si>
  <si>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</si>
  <si>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</si>
  <si>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</si>
  <si>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</si>
  <si>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</si>
  <si>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</si>
  <si>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</si>
  <si>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</si>
  <si>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</si>
  <si>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</si>
  <si>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</si>
  <si>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</si>
  <si>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</si>
  <si>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</si>
  <si>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</si>
  <si>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</si>
  <si>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</si>
  <si>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</si>
  <si>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</si>
  <si>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</si>
  <si>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</si>
  <si>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</si>
  <si>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</si>
  <si>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</si>
  <si>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</si>
  <si>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</si>
  <si>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</si>
  <si>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</si>
  <si>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</si>
  <si>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</si>
  <si>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</si>
  <si>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</si>
  <si>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</si>
  <si>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</si>
  <si>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</si>
  <si>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</si>
  <si>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</si>
  <si>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</si>
  <si>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</si>
  <si>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</si>
  <si>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</si>
  <si>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</si>
  <si>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</si>
  <si>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</si>
  <si>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</si>
  <si>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</si>
  <si>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</si>
  <si>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</si>
  <si>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</si>
  <si>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</si>
  <si>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</si>
  <si>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</si>
  <si>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</si>
  <si>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</si>
  <si>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</si>
  <si>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</si>
  <si>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</si>
  <si>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</si>
  <si>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</si>
  <si>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</si>
  <si>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</si>
  <si>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</si>
  <si>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</si>
  <si>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</si>
  <si>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</si>
  <si>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</si>
  <si>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</si>
  <si>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</si>
  <si>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</si>
  <si>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</si>
  <si>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</si>
  <si>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</si>
  <si>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</si>
  <si>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</si>
  <si>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</si>
  <si>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</si>
  <si>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</si>
  <si>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</si>
  <si>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</si>
  <si>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</si>
  <si>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</si>
  <si>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</si>
  <si>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</si>
  <si>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</si>
  <si>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</si>
  <si>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</si>
  <si>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</si>
  <si>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</si>
  <si>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</si>
  <si>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</si>
  <si>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</si>
  <si>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</si>
  <si>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</si>
  <si>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</si>
  <si>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</si>
  <si>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</si>
  <si>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</si>
  <si>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</si>
  <si>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</si>
  <si>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</si>
  <si>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</si>
  <si>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</si>
  <si>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</si>
  <si>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</si>
  <si>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</si>
  <si>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</si>
  <si>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</si>
  <si>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</si>
  <si>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</si>
  <si>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</si>
  <si>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</si>
  <si>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</si>
  <si>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</si>
  <si>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</si>
  <si>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</si>
  <si>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</si>
  <si>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</si>
  <si>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</si>
  <si>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</si>
  <si>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</si>
  <si>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</si>
  <si>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</si>
  <si>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</si>
  <si>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</si>
  <si>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</si>
  <si>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</si>
  <si>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</si>
  <si>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</si>
  <si>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</si>
  <si>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</si>
  <si>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</si>
  <si>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</si>
  <si>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</si>
  <si>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</si>
  <si>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</si>
  <si>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</si>
  <si>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</si>
  <si>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</si>
  <si>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</si>
  <si>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</si>
  <si>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</si>
  <si>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</si>
  <si>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</si>
  <si>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</si>
  <si>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</si>
  <si>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</si>
  <si>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</si>
  <si>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</si>
  <si>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</si>
  <si>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</si>
  <si>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</si>
  <si>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</si>
  <si>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</si>
  <si>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</si>
  <si>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</si>
  <si>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</si>
  <si>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</si>
  <si>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</si>
  <si>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</si>
  <si>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</si>
  <si>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</si>
  <si>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</si>
  <si>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</si>
  <si>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</si>
  <si>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</si>
  <si>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</si>
  <si>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</si>
  <si>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</si>
  <si>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</si>
  <si>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</si>
  <si>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</si>
  <si>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</si>
  <si>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</si>
  <si>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</si>
  <si>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</si>
  <si>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</si>
  <si>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</si>
  <si>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</si>
  <si>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</si>
  <si>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</si>
  <si>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</si>
  <si>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</si>
  <si>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</si>
  <si>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</si>
  <si>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</si>
  <si>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</si>
  <si>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</si>
  <si>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</si>
  <si>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</si>
  <si>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</si>
  <si>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</si>
  <si>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</si>
  <si>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</si>
  <si>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</si>
  <si>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</si>
  <si>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</si>
  <si>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</si>
  <si>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</si>
  <si>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</si>
  <si>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</si>
  <si>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</si>
  <si>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</si>
  <si>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</si>
  <si>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</si>
  <si>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</si>
  <si>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</si>
  <si>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</si>
  <si>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</si>
  <si>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</si>
  <si>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</si>
  <si>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</si>
  <si>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</si>
  <si>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</si>
  <si>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</si>
  <si>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</si>
  <si>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</si>
  <si>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</si>
  <si>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</si>
  <si>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</si>
  <si>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</si>
  <si>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</si>
  <si>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</si>
  <si>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</si>
  <si>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</si>
  <si>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</si>
  <si>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</si>
  <si>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</si>
  <si>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</si>
  <si>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</si>
  <si>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</si>
  <si>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</si>
  <si>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</si>
  <si>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</si>
  <si>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</si>
  <si>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</si>
  <si>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</si>
  <si>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</si>
  <si>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</si>
  <si>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</si>
  <si>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</si>
  <si>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</si>
  <si>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</si>
  <si>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</si>
  <si>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</si>
  <si>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</si>
  <si>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</si>
  <si>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</si>
  <si>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</si>
  <si>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</si>
  <si>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</si>
  <si>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</si>
  <si>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</si>
  <si>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</si>
  <si>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</si>
  <si>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</si>
  <si>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</si>
  <si>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</si>
  <si>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</si>
  <si>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</si>
  <si>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</si>
  <si>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</si>
  <si>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</si>
  <si>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</si>
  <si>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</si>
  <si>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</si>
  <si>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</si>
  <si>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</si>
  <si>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</si>
  <si>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</si>
  <si>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</si>
  <si>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</si>
  <si>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</si>
  <si>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</si>
  <si>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</si>
  <si>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</si>
  <si>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</si>
  <si>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</si>
  <si>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</si>
  <si>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</si>
  <si>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</si>
  <si>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</si>
  <si>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</si>
  <si>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</si>
  <si>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</si>
  <si>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</si>
  <si>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</si>
  <si>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</si>
  <si>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</si>
  <si>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</si>
  <si>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</si>
  <si>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</si>
  <si>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</si>
  <si>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</si>
  <si>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</si>
  <si>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</si>
  <si>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</si>
  <si>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</si>
  <si>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</si>
  <si>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</si>
  <si>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</si>
  <si>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</si>
  <si>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</si>
  <si>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</si>
  <si>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</si>
  <si>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</si>
  <si>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</si>
  <si>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</si>
  <si>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</si>
  <si>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</si>
  <si>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</si>
  <si>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</si>
  <si>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</si>
  <si>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</si>
  <si>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</si>
  <si>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</si>
  <si>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</si>
  <si>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</si>
  <si>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</si>
  <si>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</si>
  <si>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</si>
  <si>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</si>
  <si>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</si>
  <si>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</si>
  <si>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</si>
  <si>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</si>
  <si>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</si>
  <si>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</si>
  <si>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</si>
  <si>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</si>
  <si>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</si>
  <si>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</si>
  <si>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</si>
  <si>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</si>
  <si>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</si>
  <si>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</si>
  <si>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</si>
  <si>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</si>
  <si>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</si>
  <si>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</si>
  <si>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</si>
  <si>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</si>
  <si>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</si>
  <si>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</si>
  <si>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</si>
  <si>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</si>
  <si>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</si>
  <si>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</si>
  <si>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</si>
  <si>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</si>
  <si>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</si>
  <si>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</si>
  <si>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</si>
  <si>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</si>
  <si>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</si>
  <si>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</si>
  <si>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</si>
  <si>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</si>
  <si>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</si>
  <si>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</si>
  <si>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</si>
  <si>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</si>
  <si>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</si>
  <si>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</si>
  <si>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</si>
  <si>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</si>
  <si>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</si>
  <si>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</si>
  <si>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</si>
  <si>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</si>
  <si>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</si>
  <si>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</si>
  <si>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</si>
  <si>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</si>
  <si>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</si>
  <si>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</si>
  <si>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</si>
  <si>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</si>
  <si>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</si>
  <si>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</si>
  <si>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</si>
  <si>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</si>
  <si>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</si>
  <si>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</si>
  <si>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</si>
  <si>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</si>
  <si>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</si>
  <si>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</si>
  <si>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</si>
  <si>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</si>
  <si>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</si>
  <si>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</si>
  <si>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</si>
  <si>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</si>
  <si>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</si>
  <si>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</si>
  <si>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</si>
  <si>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</si>
  <si>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</si>
  <si>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</si>
  <si>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</si>
  <si>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</si>
  <si>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</si>
  <si>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</si>
  <si>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</si>
  <si>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</si>
  <si>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</si>
  <si>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</si>
  <si>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</si>
  <si>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</si>
  <si>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</si>
  <si>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</si>
  <si>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</si>
  <si>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</si>
  <si>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</si>
  <si>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</si>
  <si>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</si>
  <si>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</si>
  <si>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</si>
  <si>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</si>
  <si>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</si>
  <si>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</si>
  <si>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</si>
  <si>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</si>
  <si>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</si>
  <si>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</si>
  <si>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</si>
  <si>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</si>
  <si>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</si>
  <si>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</si>
  <si>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</si>
  <si>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</si>
  <si>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</si>
  <si>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</si>
  <si>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</si>
  <si>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</si>
  <si>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</si>
  <si>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</si>
  <si>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</si>
  <si>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</si>
  <si>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</si>
  <si>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</si>
  <si>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</si>
  <si>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</si>
  <si>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</si>
  <si>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</si>
  <si>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</si>
  <si>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</si>
  <si>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</si>
  <si>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</si>
  <si>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</si>
  <si>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</si>
  <si>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</si>
  <si>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</si>
  <si>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</si>
  <si>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</si>
  <si>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</si>
  <si>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</si>
  <si>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</si>
  <si>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</si>
  <si>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</si>
  <si>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</si>
  <si>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</si>
  <si>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</si>
  <si>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</si>
  <si>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</si>
  <si>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</si>
  <si>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</si>
  <si>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</si>
  <si>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</si>
  <si>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</si>
  <si>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</si>
  <si>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</si>
  <si>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</si>
  <si>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</si>
  <si>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</si>
  <si>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</si>
  <si>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</si>
  <si>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</si>
  <si>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</si>
  <si>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</si>
  <si>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</si>
  <si>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</si>
  <si>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</si>
  <si>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</si>
  <si>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</si>
  <si>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</si>
  <si>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</si>
  <si>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</si>
  <si>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</si>
  <si>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</si>
  <si>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</si>
  <si>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</si>
  <si>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</si>
  <si>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</si>
  <si>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</si>
  <si>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</si>
  <si>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</si>
  <si>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</si>
  <si>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</si>
  <si>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</si>
  <si>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</si>
  <si>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</si>
  <si>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</si>
  <si>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</si>
  <si>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</si>
  <si>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</si>
  <si>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</si>
  <si>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</si>
  <si>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</si>
  <si>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</si>
  <si>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</si>
  <si>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</si>
  <si>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</si>
  <si>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</si>
  <si>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</si>
  <si>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</si>
  <si>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</si>
  <si>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</si>
  <si>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</si>
  <si>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</si>
  <si>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</si>
  <si>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</si>
  <si>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</si>
  <si>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</si>
  <si>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</si>
  <si>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</si>
  <si>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</si>
  <si>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</si>
  <si>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</si>
  <si>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</si>
  <si>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</si>
  <si>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</si>
  <si>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</si>
  <si>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</si>
  <si>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</si>
  <si>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</si>
  <si>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</si>
  <si>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</si>
  <si>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</si>
  <si>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</si>
  <si>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</si>
  <si>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</si>
  <si>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</si>
  <si>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</si>
  <si>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</si>
  <si>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</si>
  <si>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</si>
  <si>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</si>
  <si>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</si>
  <si>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</si>
  <si>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</si>
  <si>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</si>
  <si>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</si>
  <si>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</si>
  <si>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</si>
  <si>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</si>
  <si>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</si>
  <si>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</si>
  <si>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</si>
  <si>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</si>
  <si>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</si>
  <si>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</si>
  <si>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</si>
  <si>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</si>
  <si>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</si>
  <si>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</si>
  <si>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</si>
  <si>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</si>
  <si>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</si>
  <si>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</si>
  <si>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</si>
  <si>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</si>
  <si>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</si>
  <si>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</si>
  <si>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</si>
  <si>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</si>
  <si>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</si>
  <si>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</si>
  <si>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</si>
  <si>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</si>
  <si>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</si>
  <si>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</si>
  <si>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</si>
  <si>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</si>
  <si>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</si>
  <si>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</si>
  <si>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</si>
  <si>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</si>
  <si>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</si>
  <si>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</si>
  <si>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</si>
  <si>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</si>
  <si>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</si>
  <si>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</si>
  <si>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</si>
  <si>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</si>
  <si>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</si>
  <si>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</si>
  <si>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</si>
  <si>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</si>
  <si>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</si>
  <si>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</si>
  <si>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</si>
  <si>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</si>
  <si>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</si>
  <si>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</si>
  <si>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</si>
  <si>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</si>
  <si>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</si>
  <si>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</si>
  <si>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</si>
  <si>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</si>
  <si>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</si>
  <si>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</si>
  <si>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</si>
  <si>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</si>
  <si>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</si>
  <si>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</si>
  <si>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</si>
  <si>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</si>
  <si>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</si>
  <si>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</si>
  <si>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</si>
  <si>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</si>
  <si>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</si>
  <si>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</si>
  <si>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</si>
  <si>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</si>
  <si>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</si>
  <si>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</si>
  <si>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</si>
  <si>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</si>
  <si>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</si>
  <si>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</si>
  <si>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</si>
  <si>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</si>
  <si>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</si>
  <si>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</si>
  <si>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</si>
  <si>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</si>
  <si>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</si>
  <si>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</si>
  <si>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</si>
  <si>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</si>
  <si>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</si>
  <si>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</si>
  <si>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</si>
  <si>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</si>
  <si>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</si>
  <si>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</si>
  <si>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</si>
  <si>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</si>
  <si>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</si>
  <si>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</si>
  <si>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</si>
  <si>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</si>
  <si>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</si>
  <si>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</si>
  <si>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</si>
  <si>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</si>
  <si>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</si>
  <si>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</si>
  <si>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</si>
  <si>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</si>
  <si>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</si>
  <si>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</si>
  <si>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</si>
  <si>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</si>
  <si>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</si>
  <si>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</si>
  <si>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</si>
  <si>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</si>
  <si>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</si>
  <si>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</si>
  <si>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</si>
  <si>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</si>
  <si>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</si>
  <si>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</si>
  <si>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</si>
  <si>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</si>
  <si>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</si>
  <si>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</si>
  <si>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</si>
  <si>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</si>
  <si>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</si>
  <si>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</si>
  <si>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</si>
  <si>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</si>
  <si>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</si>
  <si>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</si>
  <si>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</si>
  <si>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</si>
  <si>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</si>
  <si>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</si>
  <si>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</si>
  <si>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</si>
  <si>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</si>
  <si>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</si>
  <si>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</si>
  <si>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</si>
  <si>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</si>
  <si>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</si>
  <si>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</si>
  <si>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</si>
  <si>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</si>
  <si>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</si>
  <si>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</si>
  <si>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</si>
  <si>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</si>
  <si>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</si>
  <si>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</si>
  <si>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</si>
  <si>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</si>
  <si>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</si>
  <si>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</si>
  <si>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</si>
  <si>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</si>
  <si>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</si>
  <si>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</si>
  <si>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</si>
  <si>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</si>
  <si>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</si>
  <si>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</si>
  <si>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</si>
  <si>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</si>
  <si>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</si>
  <si>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</si>
  <si>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</si>
  <si>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</si>
  <si>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</si>
  <si>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</si>
  <si>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</si>
  <si>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</si>
  <si>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</si>
  <si>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</si>
  <si>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</si>
  <si>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</si>
  <si>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</si>
  <si>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</si>
  <si>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</si>
  <si>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</si>
  <si>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</si>
  <si>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</si>
  <si>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</si>
  <si>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</si>
  <si>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</si>
  <si>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</si>
  <si>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</si>
  <si>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</si>
  <si>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</si>
  <si>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</si>
  <si>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</si>
  <si>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</si>
  <si>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</si>
  <si>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</si>
  <si>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</si>
  <si>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</si>
  <si>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</si>
  <si>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</si>
  <si>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</si>
  <si>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</si>
  <si>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</si>
  <si>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</si>
  <si>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</si>
  <si>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</si>
  <si>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</si>
  <si>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</si>
  <si>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</si>
  <si>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</si>
  <si>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</si>
  <si>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</si>
  <si>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</si>
  <si>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</si>
  <si>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</si>
  <si>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</si>
  <si>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</si>
  <si>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</si>
  <si>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</si>
  <si>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</si>
  <si>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</si>
  <si>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</si>
  <si>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</si>
  <si>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</si>
  <si>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</si>
  <si>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</si>
  <si>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</si>
  <si>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</si>
  <si>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</si>
  <si>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</si>
  <si>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</si>
  <si>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</si>
  <si>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</si>
  <si>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</si>
  <si>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</si>
  <si>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</si>
  <si>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</si>
  <si>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</si>
  <si>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</si>
  <si>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</si>
  <si>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</si>
  <si>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</si>
  <si>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</si>
  <si>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</si>
  <si>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</si>
  <si>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</si>
  <si>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</si>
  <si>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</si>
  <si>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</si>
  <si>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</si>
  <si>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</si>
  <si>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</si>
  <si>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</si>
  <si>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</si>
  <si>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</si>
  <si>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</si>
  <si>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</si>
  <si>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</si>
  <si>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</si>
  <si>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</si>
  <si>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</si>
  <si>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</si>
  <si>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</si>
  <si>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</si>
  <si>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</si>
  <si>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</si>
  <si>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</si>
  <si>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</si>
  <si>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</si>
  <si>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</si>
  <si>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</si>
  <si>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</si>
  <si>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</si>
  <si>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</si>
  <si>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</si>
  <si>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</si>
  <si>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</si>
  <si>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</si>
  <si>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</si>
  <si>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</si>
  <si>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</si>
  <si>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</si>
  <si>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</si>
  <si>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</si>
  <si>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</si>
  <si>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</si>
  <si>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</si>
  <si>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</si>
  <si>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</si>
  <si>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</si>
  <si>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</si>
  <si>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</si>
  <si>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</si>
  <si>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</si>
  <si>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</si>
  <si>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</si>
  <si>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</si>
  <si>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</si>
  <si>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</si>
  <si>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</si>
  <si>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</si>
  <si>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</si>
  <si>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</si>
  <si>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</si>
  <si>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</si>
  <si>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</si>
  <si>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</si>
  <si>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</si>
  <si>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</si>
  <si>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</si>
  <si>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</si>
  <si>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</si>
  <si>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</si>
  <si>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</si>
  <si>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</si>
  <si>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</si>
  <si>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</si>
  <si>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</si>
  <si>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</si>
  <si>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</si>
  <si>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</si>
  <si>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</si>
  <si>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</si>
  <si>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</si>
  <si>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</si>
  <si>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</si>
  <si>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</si>
  <si>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</si>
  <si>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</si>
  <si>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</si>
  <si>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</si>
  <si>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</si>
  <si>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</si>
  <si>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</si>
  <si>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</si>
  <si>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</si>
  <si>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</si>
  <si>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</si>
  <si>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</si>
  <si>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</si>
  <si>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</si>
  <si>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</si>
  <si>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</si>
  <si>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</si>
  <si>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</si>
  <si>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</si>
  <si>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</si>
  <si>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</si>
  <si>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</si>
  <si>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</si>
  <si>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</si>
  <si>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</si>
  <si>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</si>
  <si>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</si>
  <si>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</si>
  <si>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</si>
  <si>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</si>
  <si>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</si>
  <si>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</si>
  <si>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</si>
  <si>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</si>
  <si>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</si>
  <si>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</si>
  <si>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</si>
  <si>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</si>
  <si>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</si>
  <si>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</si>
  <si>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</si>
  <si>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</si>
  <si>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</si>
  <si>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</si>
  <si>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</si>
  <si>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</si>
  <si>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</si>
  <si>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</si>
  <si>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</si>
  <si>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</si>
  <si>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</si>
  <si>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</si>
  <si>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</si>
  <si>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</si>
  <si>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</si>
  <si>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</si>
  <si>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</si>
  <si>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</si>
  <si>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</si>
  <si>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</si>
  <si>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</si>
  <si>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</si>
  <si>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</si>
  <si>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</si>
  <si>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</si>
  <si>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</si>
  <si>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</si>
  <si>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</si>
  <si>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</si>
  <si>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</si>
  <si>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</si>
  <si>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</si>
  <si>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</si>
  <si>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</si>
  <si>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</si>
  <si>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</si>
  <si>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</si>
  <si>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</si>
  <si>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</si>
  <si>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</si>
  <si>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</si>
  <si>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</si>
  <si>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</si>
  <si>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</si>
  <si>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</si>
  <si>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</si>
  <si>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</si>
  <si>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</si>
  <si>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</si>
  <si>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</si>
  <si>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</si>
  <si>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</si>
  <si>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</si>
  <si>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</si>
  <si>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</si>
  <si>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</si>
  <si>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</si>
  <si>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</si>
  <si>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</si>
  <si>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</si>
  <si>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</si>
  <si>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</si>
  <si>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</si>
  <si>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</si>
  <si>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</si>
  <si>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</si>
  <si>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</si>
  <si>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</si>
  <si>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</si>
  <si>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</si>
  <si>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</si>
  <si>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</si>
  <si>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</si>
  <si>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</si>
  <si>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</si>
  <si>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</si>
  <si>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</si>
  <si>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</si>
  <si>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</si>
  <si>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</si>
  <si>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</si>
  <si>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</si>
  <si>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</si>
  <si>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</si>
  <si>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</si>
  <si>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</si>
  <si>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</si>
  <si>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</si>
  <si>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</si>
  <si>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</si>
  <si>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</si>
  <si>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</si>
  <si>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</si>
  <si>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</si>
  <si>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</si>
  <si>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</si>
  <si>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</si>
  <si>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</si>
  <si>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</si>
  <si>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</si>
  <si>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</si>
  <si>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</si>
  <si>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</si>
  <si>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</si>
  <si>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</si>
  <si>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</si>
  <si>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</si>
  <si>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</si>
  <si>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</si>
  <si>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</si>
  <si>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</si>
  <si>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</si>
  <si>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</si>
  <si>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</si>
  <si>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</si>
  <si>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</si>
  <si>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</si>
  <si>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</si>
  <si>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</si>
  <si>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</si>
  <si>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</si>
  <si>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</si>
  <si>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</si>
  <si>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</si>
  <si>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</si>
  <si>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</si>
  <si>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</si>
  <si>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</si>
  <si>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</si>
  <si>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</si>
  <si>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</si>
  <si>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</si>
  <si>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</si>
  <si>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</si>
  <si>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</si>
  <si>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</si>
  <si>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</si>
  <si>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</si>
  <si>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</si>
  <si>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</si>
  <si>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</si>
  <si>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</si>
  <si>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</si>
  <si>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</si>
  <si>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</si>
  <si>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</si>
  <si>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</si>
  <si>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</si>
  <si>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</si>
  <si>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</si>
  <si>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</si>
  <si>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</si>
  <si>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</si>
  <si>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</si>
  <si>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</si>
  <si>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</si>
  <si>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</si>
  <si>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</si>
  <si>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</si>
  <si>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</si>
  <si>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</si>
  <si>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</si>
  <si>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</si>
  <si>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</si>
  <si>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</si>
  <si>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</si>
  <si>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</si>
  <si>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</si>
  <si>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</si>
  <si>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</si>
  <si>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</si>
  <si>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</si>
  <si>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</si>
  <si>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</si>
  <si>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</si>
  <si>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</si>
  <si>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</si>
  <si>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</si>
  <si>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</si>
  <si>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</si>
  <si>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</si>
  <si>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</si>
  <si>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</si>
  <si>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</si>
  <si>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</si>
  <si>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</si>
  <si>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</si>
  <si>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</si>
  <si>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</si>
  <si>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</si>
  <si>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</si>
  <si>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</si>
  <si>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</si>
  <si>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</si>
  <si>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</si>
  <si>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</si>
  <si>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</si>
  <si>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</si>
  <si>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</si>
  <si>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</si>
  <si>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</si>
  <si>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</si>
  <si>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</si>
  <si>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</si>
  <si>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</si>
  <si>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</si>
  <si>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</si>
  <si>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</si>
  <si>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</si>
  <si>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</si>
  <si>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</si>
  <si>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</si>
  <si>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</si>
  <si>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</si>
  <si>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</si>
  <si>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</si>
  <si>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</si>
  <si>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</si>
  <si>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</si>
  <si>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</si>
  <si>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</si>
  <si>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</si>
  <si>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</si>
  <si>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</si>
  <si>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</si>
  <si>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</si>
  <si>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</si>
  <si>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</si>
  <si>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</si>
  <si>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</si>
  <si>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</si>
  <si>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</si>
  <si>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</si>
  <si>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</si>
  <si>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</si>
  <si>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</si>
  <si>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</si>
  <si>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</si>
  <si>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</si>
  <si>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</si>
  <si>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</si>
  <si>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</si>
  <si>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</si>
  <si>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</si>
  <si>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</si>
  <si>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</si>
  <si>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</si>
  <si>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</si>
  <si>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</si>
  <si>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</si>
  <si>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</si>
  <si>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</si>
  <si>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</si>
  <si>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</si>
  <si>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</si>
  <si>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</si>
  <si>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</si>
  <si>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</si>
  <si>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</si>
  <si>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</si>
  <si>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</si>
  <si>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</si>
  <si>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</si>
  <si>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</si>
  <si>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</si>
  <si>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</si>
  <si>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</si>
  <si>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</si>
  <si>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</si>
  <si>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</si>
  <si>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</si>
  <si>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</si>
  <si>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</si>
  <si>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</si>
  <si>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</si>
  <si>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</si>
  <si>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</si>
  <si>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</si>
  <si>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</si>
  <si>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</si>
  <si>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</si>
  <si>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</si>
  <si>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</si>
  <si>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</si>
  <si>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</si>
  <si>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</si>
  <si>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</si>
  <si>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</si>
  <si>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</si>
  <si>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</si>
  <si>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</si>
  <si>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</si>
  <si>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</si>
  <si>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</si>
  <si>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</si>
  <si>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</si>
  <si>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</si>
  <si>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</si>
  <si>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</si>
  <si>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</si>
  <si>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</si>
  <si>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</si>
  <si>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</si>
  <si>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</si>
  <si>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</si>
  <si>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</si>
  <si>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</si>
  <si>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</si>
  <si>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</si>
  <si>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</si>
  <si>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</si>
  <si>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</si>
  <si>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</si>
  <si>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</si>
  <si>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</si>
  <si>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</si>
  <si>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</si>
  <si>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</si>
  <si>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</si>
  <si>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</si>
  <si>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</si>
  <si>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</si>
  <si>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</si>
  <si>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</si>
  <si>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</si>
  <si>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</si>
  <si>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</si>
  <si>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</si>
  <si>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</si>
  <si>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</si>
  <si>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</si>
  <si>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</si>
  <si>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</si>
  <si>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</si>
  <si>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</si>
  <si>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</si>
  <si>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</si>
  <si>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</si>
  <si>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</si>
  <si>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</si>
  <si>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</si>
  <si>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</si>
  <si>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</si>
  <si>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</si>
  <si>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</si>
  <si>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</si>
  <si>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</si>
  <si>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</si>
  <si>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</si>
  <si>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</si>
  <si>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</si>
  <si>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</si>
  <si>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</si>
  <si>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</si>
  <si>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</si>
  <si>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</si>
  <si>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</si>
  <si>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</si>
  <si>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</si>
  <si>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</si>
  <si>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</si>
  <si>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</si>
  <si>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</si>
  <si>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</si>
  <si>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</si>
  <si>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</si>
  <si>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</si>
  <si>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</si>
  <si>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</si>
  <si>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</si>
  <si>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</si>
  <si>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</si>
  <si>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</si>
  <si>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</si>
  <si>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</si>
  <si>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</si>
  <si>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</si>
  <si>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</si>
  <si>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</si>
  <si>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</si>
  <si>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</si>
  <si>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</si>
  <si>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</si>
  <si>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</si>
  <si>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</si>
  <si>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</si>
  <si>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</si>
  <si>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</si>
  <si>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</si>
  <si>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</si>
  <si>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</si>
  <si>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</si>
  <si>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</si>
  <si>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</si>
  <si>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</si>
  <si>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</si>
  <si>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</si>
  <si>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</si>
  <si>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</si>
  <si>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</si>
  <si>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</si>
  <si>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</si>
  <si>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</si>
  <si>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</si>
  <si>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</si>
  <si>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</si>
  <si>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</si>
  <si>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</si>
  <si>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</si>
  <si>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</si>
  <si>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</si>
  <si>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</si>
  <si>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</si>
  <si>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</si>
  <si>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</si>
  <si>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</si>
  <si>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</si>
  <si>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</si>
  <si>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</si>
  <si>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</si>
  <si>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</si>
  <si>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</si>
  <si>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</si>
  <si>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</si>
  <si>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</si>
  <si>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</si>
  <si>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</si>
  <si>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</si>
  <si>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</si>
  <si>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</si>
  <si>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</si>
  <si>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</si>
  <si>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</si>
  <si>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</si>
  <si>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</si>
  <si>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</si>
  <si>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</si>
  <si>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</si>
  <si>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</si>
  <si>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</si>
  <si>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</si>
  <si>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</si>
  <si>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</si>
  <si>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</si>
  <si>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</si>
  <si>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</si>
  <si>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</si>
  <si>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</si>
  <si>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</si>
  <si>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</si>
  <si>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</si>
  <si>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</si>
  <si>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</si>
  <si>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</si>
  <si>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</si>
  <si>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</si>
  <si>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</si>
  <si>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</si>
  <si>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</si>
  <si>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</si>
  <si>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</si>
  <si>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</si>
  <si>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</si>
  <si>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</si>
  <si>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</si>
  <si>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</si>
  <si>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</si>
  <si>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</si>
  <si>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</si>
  <si>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</si>
  <si>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</si>
  <si>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</si>
  <si>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</si>
  <si>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</si>
  <si>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</si>
  <si>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</si>
  <si>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</si>
  <si>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</si>
  <si>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</si>
  <si>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</si>
  <si>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</si>
  <si>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</si>
  <si>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</si>
  <si>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</si>
  <si>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</si>
  <si>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</si>
  <si>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</si>
  <si>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</si>
  <si>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</si>
  <si>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</si>
  <si>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</si>
  <si>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</si>
  <si>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</si>
  <si>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</si>
  <si>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</si>
  <si>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</si>
  <si>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</si>
  <si>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</si>
  <si>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</si>
  <si>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</si>
  <si>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</si>
  <si>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</si>
  <si>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</si>
  <si>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</si>
  <si>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</si>
  <si>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</si>
  <si>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</si>
  <si>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</si>
  <si>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</si>
  <si>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</si>
  <si>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</si>
  <si>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</si>
  <si>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</si>
  <si>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</si>
  <si>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</si>
  <si>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</si>
  <si>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</si>
  <si>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</si>
  <si>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</si>
  <si>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</si>
  <si>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</si>
  <si>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</si>
  <si>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</si>
  <si>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</si>
  <si>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</si>
  <si>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</si>
  <si>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</si>
  <si>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</si>
  <si>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</si>
  <si>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</si>
  <si>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</si>
  <si>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</si>
  <si>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</si>
  <si>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</si>
  <si>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</si>
  <si>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</si>
  <si>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</si>
  <si>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</si>
  <si>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</si>
  <si>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</si>
  <si>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</si>
  <si>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</si>
  <si>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</si>
  <si>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</si>
  <si>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</si>
  <si>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</si>
  <si>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</si>
  <si>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</si>
  <si>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</si>
  <si>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</si>
  <si>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</si>
  <si>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</si>
  <si>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</si>
  <si>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</si>
  <si>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</si>
  <si>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</si>
  <si>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</si>
  <si>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</si>
  <si>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</si>
  <si>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</si>
  <si>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</si>
  <si>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</si>
  <si>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</si>
  <si>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</si>
  <si>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</si>
  <si>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</si>
  <si>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</si>
  <si>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</si>
  <si>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</si>
  <si>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</si>
  <si>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</si>
  <si>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</si>
  <si>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</si>
  <si>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</si>
  <si>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</si>
  <si>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</si>
  <si>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</si>
  <si>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</si>
  <si>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</si>
  <si>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</si>
  <si>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</si>
  <si>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</si>
  <si>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</si>
  <si>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</si>
  <si>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</si>
  <si>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</si>
  <si>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</si>
  <si>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</si>
  <si>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</si>
  <si>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</si>
  <si>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</si>
  <si>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</si>
  <si>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</si>
  <si>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</si>
  <si>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</si>
  <si>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</si>
  <si>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</si>
  <si>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</si>
  <si>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</si>
  <si>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</si>
  <si>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</si>
  <si>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</si>
  <si>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</si>
  <si>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</si>
  <si>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</si>
  <si>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</si>
  <si>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</si>
  <si>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</si>
  <si>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</si>
  <si>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</si>
  <si>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</si>
  <si>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</si>
  <si>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</si>
  <si>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</si>
  <si>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</si>
  <si>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</si>
  <si>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</si>
  <si>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</si>
  <si>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</si>
  <si>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</si>
  <si>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</si>
  <si>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</si>
  <si>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</si>
  <si>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</si>
  <si>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</si>
  <si>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</si>
  <si>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</si>
  <si>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</si>
  <si>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</si>
  <si>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</si>
  <si>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</si>
  <si>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</si>
  <si>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</si>
  <si>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</si>
  <si>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</si>
  <si>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</si>
  <si>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</si>
  <si>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</si>
  <si>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</si>
  <si>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</si>
  <si>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</si>
  <si>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</si>
  <si>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</si>
  <si>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</si>
  <si>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</si>
  <si>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</si>
  <si>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</si>
  <si>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</si>
  <si>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</si>
  <si>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</si>
  <si>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</si>
  <si>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</si>
  <si>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</si>
  <si>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</si>
  <si>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</si>
  <si>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</si>
  <si>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</si>
  <si>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</si>
  <si>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</si>
  <si>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</si>
  <si>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</si>
  <si>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</si>
  <si>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</si>
  <si>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</si>
  <si>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</si>
  <si>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</si>
  <si>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</si>
  <si>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</si>
  <si>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</si>
  <si>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</si>
  <si>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</si>
  <si>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</si>
  <si>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</si>
  <si>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</si>
  <si>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</si>
  <si>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</si>
  <si>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</si>
  <si>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</si>
  <si>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</si>
  <si>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</si>
  <si>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</si>
  <si>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</si>
  <si>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</si>
  <si>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</si>
  <si>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</si>
  <si>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</si>
  <si>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</si>
  <si>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</si>
  <si>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</si>
  <si>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</si>
  <si>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</si>
  <si>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</si>
  <si>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</si>
  <si>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</si>
  <si>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</si>
  <si>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</si>
  <si>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</si>
  <si>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</si>
  <si>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</si>
  <si>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</si>
  <si>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</si>
  <si>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</si>
  <si>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</si>
  <si>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</si>
  <si>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</si>
  <si>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</si>
  <si>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</si>
  <si>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</si>
  <si>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</si>
  <si>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</si>
  <si>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</si>
  <si>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</si>
  <si>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</si>
  <si>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</si>
  <si>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</si>
  <si>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</si>
  <si>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</si>
  <si>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</si>
  <si>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</si>
  <si>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</si>
  <si>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</si>
  <si>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</si>
  <si>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</si>
  <si>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</si>
  <si>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</si>
  <si>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</si>
  <si>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</si>
  <si>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</si>
  <si>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</si>
  <si>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</si>
  <si>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</si>
  <si>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</si>
  <si>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</si>
  <si>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</si>
  <si>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</si>
  <si>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</si>
  <si>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</si>
  <si>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</si>
  <si>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</si>
  <si>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</si>
  <si>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</si>
  <si>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</si>
  <si>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</si>
  <si>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</si>
  <si>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</si>
  <si>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</si>
  <si>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</si>
  <si>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</si>
  <si>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</si>
  <si>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</si>
  <si>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</si>
  <si>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</si>
  <si>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</si>
  <si>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</si>
  <si>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</si>
  <si>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</si>
  <si>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</si>
  <si>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</si>
  <si>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</si>
  <si>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</si>
  <si>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</si>
  <si>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</si>
  <si>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</si>
  <si>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</si>
  <si>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</si>
  <si>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</si>
  <si>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</si>
  <si>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</si>
  <si>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</si>
  <si>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</si>
  <si>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</si>
  <si>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</si>
  <si>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</si>
  <si>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</si>
  <si>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</si>
  <si>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</si>
  <si>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</si>
  <si>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</si>
  <si>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</si>
  <si>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</si>
  <si>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</si>
  <si>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</si>
  <si>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</si>
  <si>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</si>
  <si>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</si>
  <si>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</si>
  <si>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</si>
  <si>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</si>
  <si>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</si>
  <si>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</si>
  <si>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</si>
  <si>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</si>
  <si>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</si>
  <si>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</si>
  <si>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</si>
  <si>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</si>
  <si>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</si>
  <si>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</si>
  <si>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</si>
  <si>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</si>
  <si>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</si>
  <si>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</si>
  <si>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</si>
  <si>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</si>
  <si>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</si>
  <si>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</si>
  <si>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</si>
  <si>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</si>
  <si>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</si>
  <si>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</si>
  <si>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</si>
  <si>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</si>
  <si>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</si>
  <si>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</si>
  <si>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</si>
  <si>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</si>
  <si>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</si>
  <si>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</si>
  <si>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</si>
  <si>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</si>
  <si>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</si>
  <si>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</si>
  <si>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</si>
  <si>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</si>
  <si>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</si>
  <si>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</si>
  <si>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</si>
  <si>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</si>
  <si>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</si>
  <si>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</si>
  <si>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</si>
  <si>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</si>
  <si>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</si>
  <si>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</si>
  <si>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</si>
  <si>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</si>
  <si>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</si>
  <si>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</si>
  <si>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</si>
  <si>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</si>
  <si>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</si>
  <si>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</si>
  <si>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</si>
  <si>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</si>
  <si>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</si>
  <si>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</si>
  <si>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</si>
  <si>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</si>
  <si>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</si>
  <si>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</si>
  <si>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</si>
  <si>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</si>
  <si>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</si>
  <si>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</si>
  <si>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</si>
  <si>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</si>
  <si>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</si>
  <si>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</si>
  <si>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</si>
  <si>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</si>
  <si>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</si>
  <si>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</si>
  <si>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</si>
  <si>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</si>
  <si>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</si>
  <si>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</si>
  <si>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</si>
  <si>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</si>
  <si>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</si>
  <si>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</si>
  <si>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</si>
  <si>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</si>
  <si>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</si>
  <si>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</si>
  <si>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</si>
  <si>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</si>
  <si>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</si>
  <si>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</si>
  <si>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</si>
  <si>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</si>
  <si>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</si>
  <si>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</si>
  <si>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</si>
  <si>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</si>
  <si>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</si>
  <si>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</si>
  <si>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</si>
  <si>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</si>
  <si>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</si>
  <si>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</si>
  <si>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</si>
  <si>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</si>
  <si>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</si>
  <si>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</si>
  <si>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</si>
  <si>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</si>
  <si>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</si>
  <si>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</si>
  <si>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</si>
  <si>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</si>
  <si>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</si>
  <si>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</si>
  <si>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</si>
  <si>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</si>
  <si>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</si>
  <si>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</si>
  <si>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</si>
  <si>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</si>
  <si>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</si>
  <si>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</si>
  <si>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</si>
  <si>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</si>
  <si>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</si>
  <si>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</si>
  <si>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</si>
  <si>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</si>
  <si>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</si>
  <si>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</si>
  <si>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</si>
  <si>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</si>
  <si>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</si>
  <si>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</si>
  <si>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</si>
  <si>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</si>
  <si>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</si>
  <si>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</si>
  <si>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</si>
  <si>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</si>
  <si>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</si>
  <si>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</si>
  <si>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</si>
  <si>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</si>
  <si>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</si>
  <si>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</si>
  <si>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</si>
  <si>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</si>
  <si>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</si>
  <si>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</si>
  <si>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</si>
  <si>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</si>
  <si>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</si>
  <si>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</si>
  <si>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</si>
  <si>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</si>
  <si>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</si>
  <si>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</si>
  <si>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</si>
  <si>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</si>
  <si>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</si>
  <si>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</si>
  <si>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</si>
  <si>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</si>
  <si>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</si>
  <si>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</si>
  <si>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</si>
  <si>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</si>
  <si>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</si>
  <si>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</si>
  <si>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</si>
  <si>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</si>
  <si>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</si>
  <si>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</si>
  <si>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</si>
  <si>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</si>
  <si>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</si>
  <si>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</si>
  <si>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</si>
  <si>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</si>
  <si>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</si>
  <si>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</si>
  <si>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</si>
  <si>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</si>
  <si>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</si>
  <si>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</si>
  <si>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</si>
  <si>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</si>
  <si>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</si>
  <si>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</si>
  <si>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</si>
  <si>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</si>
  <si>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</si>
  <si>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</si>
  <si>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</si>
  <si>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</si>
  <si>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</si>
  <si>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</si>
  <si>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</si>
  <si>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</si>
  <si>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</si>
  <si>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</si>
  <si>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</si>
  <si>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</si>
  <si>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</si>
  <si>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</si>
  <si>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</si>
  <si>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</si>
  <si>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</si>
  <si>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</si>
  <si>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</si>
  <si>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</si>
  <si>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</si>
  <si>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</si>
  <si>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</si>
  <si>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</si>
  <si>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</si>
  <si>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</si>
  <si>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</si>
  <si>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</si>
  <si>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</si>
  <si>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</si>
  <si>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</si>
  <si>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</si>
  <si>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</si>
  <si>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</si>
  <si>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</si>
  <si>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</si>
  <si>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</si>
  <si>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</si>
  <si>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</si>
  <si>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</si>
  <si>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</si>
  <si>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</si>
  <si>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</si>
  <si>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</si>
  <si>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</si>
  <si>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</si>
  <si>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</si>
  <si>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</si>
  <si>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</si>
  <si>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</si>
  <si>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</si>
  <si>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</si>
  <si>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</si>
  <si>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</si>
  <si>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</si>
  <si>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</si>
  <si>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</si>
  <si>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</si>
  <si>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</si>
  <si>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</si>
  <si>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</si>
  <si>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</si>
  <si>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</si>
  <si>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</si>
  <si>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</si>
  <si>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</si>
  <si>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</si>
  <si>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</si>
  <si>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</si>
  <si>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</si>
  <si>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</si>
  <si>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</si>
  <si>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</si>
  <si>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</si>
  <si>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</si>
  <si>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</si>
  <si>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</si>
  <si>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</si>
  <si>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</si>
  <si>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</si>
  <si>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</si>
  <si>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</si>
  <si>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</si>
  <si>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</si>
  <si>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</si>
  <si>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</si>
  <si>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</si>
  <si>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</si>
  <si>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</si>
  <si>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</si>
  <si>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</si>
  <si>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</si>
  <si>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</si>
  <si>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</si>
  <si>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</si>
  <si>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</si>
  <si>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</si>
  <si>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</si>
  <si>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</si>
  <si>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</si>
  <si>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</si>
  <si>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</si>
  <si>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</si>
  <si>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</si>
  <si>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</si>
  <si>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</si>
  <si>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</si>
  <si>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</si>
  <si>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</si>
  <si>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</si>
  <si>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</si>
  <si>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</si>
  <si>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</si>
  <si>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</si>
  <si>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</si>
  <si>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</si>
  <si>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</si>
  <si>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</si>
  <si>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</si>
  <si>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</si>
  <si>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</si>
  <si>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</si>
  <si>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</si>
  <si>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</si>
  <si>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</si>
  <si>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</si>
  <si>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</si>
  <si>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</si>
  <si>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</si>
  <si>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</si>
  <si>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</si>
  <si>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</si>
  <si>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</si>
  <si>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</si>
  <si>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</si>
  <si>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</si>
  <si>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</si>
  <si>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</si>
  <si>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</si>
  <si>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</si>
  <si>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</si>
  <si>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</si>
  <si>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</si>
  <si>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</si>
  <si>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</si>
  <si>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</si>
  <si>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</si>
  <si>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</si>
  <si>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</si>
  <si>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</si>
  <si>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</si>
  <si>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</si>
  <si>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</si>
  <si>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</si>
  <si>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</si>
  <si>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</si>
  <si>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</si>
  <si>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</si>
  <si>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</si>
  <si>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</si>
  <si>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</si>
  <si>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</si>
  <si>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</si>
  <si>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</si>
  <si>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</si>
  <si>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</si>
  <si>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</si>
  <si>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</si>
  <si>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</si>
  <si>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</si>
  <si>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</si>
  <si>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</si>
  <si>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</si>
  <si>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</si>
  <si>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</si>
  <si>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</si>
  <si>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</si>
  <si>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</si>
  <si>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</si>
  <si>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</si>
  <si>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</si>
  <si>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</si>
  <si>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</si>
  <si>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</si>
  <si>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</si>
  <si>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</si>
  <si>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</si>
  <si>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</si>
  <si>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</si>
  <si>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</si>
  <si>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</si>
  <si>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</si>
  <si>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</si>
  <si>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</si>
  <si>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</si>
  <si>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</si>
  <si>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</si>
  <si>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</si>
  <si>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</si>
  <si>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</si>
  <si>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</si>
  <si>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</si>
  <si>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</si>
  <si>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</si>
  <si>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</si>
  <si>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</si>
  <si>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</si>
  <si>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</si>
  <si>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</si>
  <si>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</si>
  <si>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</si>
  <si>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</si>
  <si>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</si>
  <si>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</si>
  <si>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</si>
  <si>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</si>
  <si>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</si>
  <si>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</si>
  <si>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</si>
  <si>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</si>
  <si>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</si>
  <si>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</si>
  <si>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</si>
  <si>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</si>
  <si>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</si>
  <si>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</si>
  <si>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</si>
  <si>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</si>
  <si>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</si>
  <si>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</si>
  <si>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</si>
  <si>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</si>
  <si>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</si>
  <si>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</si>
  <si>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</si>
  <si>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</si>
  <si>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</si>
  <si>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</si>
  <si>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</si>
  <si>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</si>
  <si>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</si>
  <si>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</si>
  <si>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</si>
  <si>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</si>
  <si>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</si>
  <si>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</si>
  <si>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</si>
  <si>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</si>
  <si>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</si>
  <si>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</si>
  <si>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</si>
  <si>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</si>
  <si>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</si>
  <si>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</si>
  <si>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</si>
  <si>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</si>
  <si>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</si>
  <si>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</si>
  <si>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</si>
  <si>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</si>
  <si>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</si>
  <si>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</si>
  <si>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</si>
  <si>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</si>
  <si>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</si>
  <si>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</si>
  <si>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</si>
  <si>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</si>
  <si>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</si>
  <si>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</si>
  <si>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</si>
  <si>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</si>
  <si>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</si>
  <si>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</si>
  <si>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</si>
  <si>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</si>
  <si>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</si>
  <si>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</si>
  <si>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</si>
  <si>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</si>
  <si>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</si>
  <si>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</si>
  <si>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</si>
  <si>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</si>
  <si>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</si>
  <si>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</si>
  <si>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</si>
  <si>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</si>
  <si>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</si>
  <si>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</si>
  <si>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</si>
  <si>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</si>
  <si>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</si>
  <si>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</si>
  <si>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</si>
  <si>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</si>
  <si>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</si>
  <si>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</si>
  <si>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</si>
  <si>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</si>
  <si>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</si>
  <si>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</si>
  <si>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</si>
  <si>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</si>
  <si>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</si>
  <si>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</si>
  <si>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</si>
  <si>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</si>
  <si>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</si>
  <si>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</si>
  <si>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</si>
  <si>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</si>
  <si>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</si>
  <si>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</si>
  <si>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</si>
  <si>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</si>
  <si>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</si>
  <si>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</si>
  <si>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</si>
  <si>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</si>
  <si>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</si>
  <si>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</si>
  <si>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</si>
  <si>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</si>
  <si>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</si>
  <si>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</si>
  <si>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</si>
  <si>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</si>
  <si>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</si>
  <si>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</si>
  <si>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</si>
  <si>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</si>
  <si>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</si>
  <si>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</si>
  <si>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</si>
  <si>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</si>
  <si>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</si>
  <si>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</si>
  <si>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</si>
  <si>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</si>
  <si>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</si>
  <si>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</si>
  <si>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</si>
  <si>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</si>
  <si>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</si>
  <si>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</si>
  <si>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</si>
  <si>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</si>
  <si>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</si>
  <si>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</si>
  <si>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</si>
  <si>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</si>
  <si>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</si>
  <si>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</si>
  <si>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</si>
  <si>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</si>
  <si>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</si>
  <si>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</si>
  <si>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</si>
  <si>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</si>
  <si>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</si>
  <si>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</si>
  <si>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</si>
  <si>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</si>
  <si>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</si>
  <si>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</si>
  <si>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</si>
  <si>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</si>
  <si>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</si>
  <si>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</si>
  <si>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</si>
  <si>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</si>
  <si>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</si>
  <si>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</si>
  <si>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</si>
  <si>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</si>
  <si>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</si>
  <si>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</si>
  <si>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</si>
  <si>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</si>
  <si>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</si>
  <si>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</si>
  <si>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</si>
  <si>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</si>
  <si>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</si>
  <si>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</si>
  <si>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</si>
  <si>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</si>
  <si>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</si>
  <si>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</si>
  <si>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</si>
  <si>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</si>
  <si>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</si>
  <si>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</si>
  <si>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</si>
  <si>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</si>
  <si>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</si>
  <si>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</si>
  <si>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</si>
  <si>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</si>
  <si>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</si>
  <si>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</si>
  <si>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</si>
  <si>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</si>
  <si>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</si>
  <si>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</si>
  <si>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</si>
  <si>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</si>
  <si>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</si>
  <si>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</si>
  <si>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</si>
  <si>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</si>
  <si>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</si>
  <si>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</si>
  <si>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</si>
  <si>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</si>
  <si>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</si>
  <si>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</si>
  <si>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</si>
  <si>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</si>
  <si>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</si>
  <si>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</si>
  <si>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</si>
  <si>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</si>
  <si>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</si>
  <si>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</si>
  <si>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</si>
  <si>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</si>
  <si>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</si>
  <si>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</si>
  <si>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</si>
  <si>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</si>
  <si>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</si>
  <si>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</si>
  <si>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</si>
  <si>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</si>
  <si>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</si>
  <si>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</si>
  <si>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</si>
  <si>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</si>
  <si>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</si>
  <si>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</si>
  <si>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</si>
  <si>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</si>
  <si>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</si>
  <si>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</si>
  <si>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</si>
  <si>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</si>
  <si>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</si>
  <si>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</si>
  <si>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</si>
  <si>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</si>
  <si>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</si>
  <si>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</si>
  <si>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</si>
  <si>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</si>
  <si>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</si>
  <si>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</si>
  <si>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</si>
  <si>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</si>
  <si>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</si>
  <si>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</si>
  <si>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</si>
  <si>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</si>
  <si>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</si>
  <si>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</si>
  <si>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</si>
  <si>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</si>
  <si>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</si>
  <si>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</si>
  <si>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</si>
  <si>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</si>
  <si>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</si>
  <si>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</si>
  <si>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</si>
  <si>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</si>
  <si>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</si>
  <si>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</si>
  <si>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</si>
  <si>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</si>
  <si>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</si>
  <si>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</si>
  <si>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</si>
  <si>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</si>
  <si>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</si>
  <si>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</si>
  <si>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</si>
  <si>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</si>
  <si>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</si>
  <si>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</si>
  <si>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</si>
  <si>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</si>
  <si>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</si>
  <si>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</si>
  <si>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</si>
  <si>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</si>
  <si>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</si>
  <si>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</si>
  <si>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</si>
  <si>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</si>
  <si>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</si>
  <si>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</si>
  <si>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</si>
  <si>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</si>
  <si>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</si>
  <si>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</si>
  <si>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</si>
  <si>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</si>
  <si>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</si>
  <si>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</si>
  <si>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</si>
  <si>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</si>
  <si>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</si>
  <si>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</si>
  <si>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</si>
  <si>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</si>
  <si>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</si>
  <si>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</si>
  <si>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</si>
  <si>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</si>
  <si>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</si>
  <si>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</si>
  <si>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</si>
  <si>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</si>
  <si>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</si>
  <si>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</si>
  <si>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</si>
  <si>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</si>
  <si>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</si>
  <si>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</si>
  <si>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</si>
  <si>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</si>
  <si>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</si>
  <si>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</si>
  <si>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</si>
  <si>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</si>
  <si>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</si>
  <si>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</si>
  <si>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</si>
  <si>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</si>
  <si>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</si>
  <si>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</si>
  <si>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</si>
  <si>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</si>
  <si>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</si>
  <si>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</si>
  <si>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</si>
  <si>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</si>
  <si>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</si>
  <si>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</si>
  <si>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</si>
  <si>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</si>
  <si>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</si>
  <si>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</si>
  <si>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</si>
  <si>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</si>
  <si>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</si>
  <si>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</si>
  <si>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</si>
  <si>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</si>
  <si>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</si>
  <si>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</si>
  <si>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</si>
  <si>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</si>
  <si>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</si>
  <si>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</si>
  <si>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</si>
  <si>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</si>
  <si>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</si>
  <si>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</si>
  <si>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</si>
  <si>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</si>
  <si>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</si>
  <si>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</si>
  <si>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</si>
  <si>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</si>
  <si>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</si>
  <si>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</si>
  <si>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</si>
  <si>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</si>
  <si>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</si>
  <si>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</si>
  <si>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</si>
  <si>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</si>
  <si>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</si>
  <si>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</si>
  <si>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</si>
  <si>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</si>
  <si>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</si>
  <si>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</si>
  <si>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</si>
  <si>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</si>
  <si>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</si>
  <si>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</si>
  <si>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</si>
  <si>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</si>
  <si>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</si>
  <si>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</si>
  <si>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</si>
  <si>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</si>
  <si>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</si>
  <si>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</si>
  <si>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</si>
  <si>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</si>
  <si>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</si>
  <si>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</si>
  <si>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</si>
  <si>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</si>
  <si>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</si>
  <si>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</si>
  <si>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</si>
  <si>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</si>
  <si>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</si>
  <si>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</si>
  <si>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</si>
  <si>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</si>
  <si>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</si>
  <si>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</si>
  <si>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</si>
  <si>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</si>
  <si>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</si>
  <si>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</si>
  <si>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</si>
  <si>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</si>
  <si>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</si>
  <si>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</si>
  <si>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</si>
  <si>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</si>
  <si>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</si>
  <si>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</si>
  <si>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</si>
  <si>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</si>
  <si>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</si>
  <si>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</si>
  <si>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</si>
  <si>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</si>
  <si>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</si>
  <si>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</si>
  <si>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</si>
  <si>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</si>
  <si>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</si>
  <si>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</si>
  <si>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</si>
  <si>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</si>
  <si>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</si>
  <si>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</si>
  <si>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</si>
  <si>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</si>
  <si>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</si>
  <si>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</si>
  <si>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</si>
  <si>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</si>
  <si>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</si>
  <si>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</si>
  <si>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</si>
  <si>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</si>
  <si>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</si>
  <si>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</si>
  <si>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</si>
  <si>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</si>
  <si>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</si>
  <si>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</si>
  <si>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</si>
  <si>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</si>
  <si>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</si>
  <si>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</si>
  <si>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</si>
  <si>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</si>
  <si>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</si>
  <si>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</si>
  <si>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</si>
  <si>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</si>
  <si>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</si>
  <si>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</si>
  <si>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</si>
  <si>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</si>
  <si>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</si>
  <si>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</si>
  <si>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</si>
  <si>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</si>
  <si>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</si>
  <si>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</si>
  <si>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</si>
  <si>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</si>
  <si>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</si>
  <si>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</si>
  <si>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</si>
  <si>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</si>
  <si>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</si>
  <si>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</si>
  <si>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</si>
  <si>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</si>
  <si>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</si>
  <si>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</si>
  <si>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</si>
  <si>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</si>
  <si>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</si>
  <si>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</si>
  <si>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</si>
  <si>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</si>
  <si>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</si>
  <si>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</si>
  <si>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</si>
  <si>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</si>
  <si>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</si>
  <si>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</si>
  <si>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</si>
  <si>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</si>
  <si>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</si>
  <si>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</si>
  <si>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</si>
  <si>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</si>
  <si>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</si>
  <si>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</si>
  <si>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</si>
  <si>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</si>
  <si>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</si>
  <si>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</si>
  <si>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</si>
  <si>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</si>
  <si>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</si>
  <si>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</si>
  <si>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</si>
  <si>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</si>
  <si>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</si>
  <si>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</si>
  <si>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</si>
  <si>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</si>
  <si>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</si>
  <si>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</si>
  <si>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</si>
  <si>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</si>
  <si>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</si>
  <si>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</si>
  <si>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</si>
  <si>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</si>
  <si>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</si>
  <si>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</si>
  <si>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</si>
  <si>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</si>
  <si>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</si>
  <si>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</si>
  <si>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</si>
  <si>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</si>
  <si>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</si>
  <si>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</si>
  <si>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</si>
  <si>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</si>
  <si>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</si>
  <si>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</si>
  <si>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</si>
  <si>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</si>
  <si>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</si>
  <si>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</si>
  <si>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</si>
  <si>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</si>
  <si>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</si>
  <si>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</si>
  <si>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</si>
  <si>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</si>
  <si>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</si>
  <si>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</si>
  <si>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</si>
  <si>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</si>
  <si>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</si>
  <si>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</si>
  <si>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</si>
  <si>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</si>
  <si>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</si>
  <si>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</si>
  <si>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</si>
  <si>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</si>
  <si>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</si>
  <si>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</si>
  <si>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</si>
  <si>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</si>
  <si>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</si>
  <si>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</si>
  <si>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</si>
  <si>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</si>
  <si>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</si>
  <si>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</si>
  <si>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</si>
  <si>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</si>
  <si>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</si>
  <si>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</si>
  <si>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</si>
  <si>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</si>
  <si>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</si>
  <si>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</si>
  <si>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</si>
  <si>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</si>
  <si>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</si>
  <si>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</si>
  <si>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</si>
  <si>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</si>
  <si>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</si>
  <si>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</si>
  <si>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</si>
  <si>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</si>
  <si>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</si>
  <si>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</si>
  <si>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</si>
  <si>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</si>
  <si>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</si>
  <si>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</si>
  <si>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</si>
  <si>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</si>
  <si>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</si>
  <si>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</si>
  <si>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</si>
  <si>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</si>
  <si>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</si>
  <si>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</si>
  <si>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</si>
  <si>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</si>
  <si>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</si>
  <si>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</si>
  <si>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</si>
  <si>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</si>
  <si>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</si>
  <si>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</si>
  <si>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</si>
  <si>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</si>
  <si>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</si>
  <si>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</si>
  <si>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</si>
  <si>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</si>
  <si>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</si>
  <si>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</si>
  <si>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</si>
  <si>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</si>
  <si>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</si>
  <si>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</si>
  <si>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</si>
  <si>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</si>
  <si>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</si>
  <si>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</si>
  <si>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</si>
  <si>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</si>
  <si>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</si>
  <si>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</si>
  <si>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</si>
  <si>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</si>
  <si>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</si>
  <si>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</si>
  <si>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</si>
  <si>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</si>
  <si>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</si>
  <si>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</si>
  <si>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</si>
  <si>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</si>
  <si>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</si>
  <si>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</si>
  <si>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</si>
  <si>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</si>
  <si>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</si>
  <si>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</si>
  <si>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</si>
  <si>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</si>
  <si>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</si>
  <si>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</si>
  <si>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</si>
  <si>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</si>
  <si>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</si>
  <si>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</si>
  <si>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</si>
  <si>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</si>
  <si>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</si>
  <si>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</si>
  <si>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</si>
  <si>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</si>
  <si>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</si>
  <si>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</si>
  <si>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</si>
  <si>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</si>
  <si>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</si>
  <si>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</si>
  <si>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</si>
  <si>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</si>
  <si>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</si>
  <si>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</si>
  <si>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</si>
  <si>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</si>
  <si>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</si>
  <si>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</si>
  <si>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</si>
  <si>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</si>
  <si>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</si>
  <si>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</si>
  <si>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</si>
  <si>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</si>
  <si>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</si>
  <si>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</si>
  <si>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</si>
  <si>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</si>
  <si>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</si>
  <si>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</si>
  <si>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</si>
  <si>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</si>
  <si>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</si>
  <si>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</si>
  <si>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</si>
  <si>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</si>
  <si>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</si>
  <si>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</si>
  <si>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</si>
  <si>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</si>
  <si>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</si>
  <si>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</si>
  <si>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</si>
  <si>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</si>
  <si>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</si>
  <si>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</si>
  <si>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</si>
  <si>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</si>
  <si>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</si>
  <si>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</si>
  <si>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</si>
  <si>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</si>
  <si>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</si>
  <si>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</si>
  <si>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</si>
  <si>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</si>
  <si>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</si>
  <si>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</si>
  <si>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</si>
  <si>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</si>
  <si>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</si>
  <si>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</si>
  <si>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</si>
  <si>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</si>
  <si>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</si>
  <si>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</si>
  <si>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</si>
  <si>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</si>
  <si>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</si>
  <si>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</si>
  <si>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</si>
  <si>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</si>
  <si>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</si>
  <si>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</si>
  <si>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</si>
  <si>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</si>
  <si>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</si>
  <si>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</si>
  <si>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</si>
  <si>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</si>
  <si>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</si>
  <si>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</si>
  <si>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</si>
  <si>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</si>
  <si>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</si>
  <si>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</si>
  <si>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</si>
  <si>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</si>
  <si>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</si>
  <si>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</si>
  <si>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</si>
  <si>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</si>
  <si>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</si>
  <si>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</si>
  <si>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</si>
  <si>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</si>
  <si>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</si>
  <si>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</si>
  <si>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</si>
  <si>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</si>
  <si>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</si>
  <si>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</si>
  <si>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</si>
  <si>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</si>
  <si>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</si>
  <si>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</si>
  <si>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</si>
  <si>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</si>
  <si>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</si>
  <si>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</si>
  <si>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</si>
  <si>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</si>
  <si>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</si>
  <si>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</si>
  <si>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</si>
  <si>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</si>
  <si>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</si>
  <si>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</si>
  <si>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</si>
  <si>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</si>
  <si>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</si>
  <si>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</si>
  <si>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</si>
  <si>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</si>
  <si>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</si>
  <si>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</si>
  <si>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</si>
  <si>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</si>
  <si>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</si>
  <si>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</si>
  <si>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</si>
  <si>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</si>
  <si>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</si>
  <si>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</si>
  <si>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</si>
  <si>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</si>
  <si>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</si>
  <si>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</si>
  <si>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</si>
  <si>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</si>
  <si>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</si>
  <si>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</si>
  <si>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</si>
  <si>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</si>
  <si>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</si>
  <si>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</si>
  <si>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</si>
  <si>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</si>
  <si>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</si>
  <si>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</si>
  <si>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</si>
  <si>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</si>
  <si>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</si>
  <si>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</si>
  <si>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</si>
  <si>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</si>
  <si>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</si>
  <si>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</si>
  <si>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</si>
  <si>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</si>
  <si>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</si>
  <si>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</si>
  <si>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</si>
  <si>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</si>
  <si>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</si>
  <si>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</si>
  <si>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</si>
  <si>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</si>
  <si>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</si>
  <si>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</si>
  <si>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</si>
  <si>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</si>
  <si>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</si>
  <si>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</si>
  <si>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</si>
  <si>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</si>
  <si>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</si>
  <si>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</si>
  <si>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</si>
  <si>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</si>
  <si>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</si>
  <si>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</si>
  <si>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</si>
  <si>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</si>
  <si>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</si>
  <si>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</si>
  <si>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</si>
  <si>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</si>
  <si>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</si>
  <si>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</si>
  <si>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</si>
  <si>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</si>
  <si>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</si>
  <si>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</si>
  <si>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</si>
  <si>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</si>
  <si>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</si>
  <si>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</si>
  <si>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</si>
  <si>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</si>
  <si>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</si>
  <si>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</si>
  <si>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</si>
  <si>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</si>
  <si>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</si>
  <si>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</si>
  <si>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</si>
  <si>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</si>
  <si>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</si>
  <si>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</si>
  <si>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</si>
  <si>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</si>
  <si>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</si>
  <si>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</si>
  <si>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</si>
  <si>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</si>
  <si>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</si>
  <si>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</si>
  <si>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</si>
  <si>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</si>
  <si>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</si>
  <si>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</si>
  <si>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</si>
  <si>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</si>
  <si>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</si>
  <si>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</si>
  <si>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</si>
  <si>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</si>
  <si>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</si>
  <si>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</si>
  <si>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</si>
  <si>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</si>
  <si>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</si>
  <si>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</si>
  <si>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</si>
  <si>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</si>
  <si>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</si>
  <si>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</si>
  <si>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</si>
  <si>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</si>
  <si>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</si>
  <si>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</si>
  <si>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</si>
  <si>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</si>
  <si>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</si>
  <si>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</si>
  <si>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</si>
  <si>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</si>
  <si>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</si>
  <si>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</si>
  <si>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</si>
  <si>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</si>
  <si>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</si>
  <si>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</si>
  <si>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</si>
  <si>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</si>
  <si>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</si>
  <si>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</si>
  <si>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</si>
  <si>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</si>
  <si>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</si>
  <si>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</si>
  <si>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</si>
  <si>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</si>
  <si>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</si>
  <si>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</si>
  <si>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</si>
  <si>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</si>
  <si>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</si>
  <si>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</si>
  <si>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</si>
  <si>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</si>
  <si>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</si>
  <si>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</si>
  <si>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</si>
  <si>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</si>
  <si>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</si>
  <si>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</si>
  <si>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</si>
  <si>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</si>
  <si>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</si>
  <si>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</si>
  <si>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</si>
  <si>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</si>
  <si>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</si>
  <si>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</si>
  <si>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</si>
  <si>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</si>
  <si>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</si>
  <si>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</si>
  <si>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</si>
  <si>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</si>
  <si>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</si>
  <si>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</si>
  <si>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</si>
  <si>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</si>
  <si>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</si>
  <si>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</si>
  <si>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</si>
  <si>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</si>
  <si>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</si>
  <si>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</si>
  <si>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</si>
  <si>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</si>
  <si>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</si>
  <si>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</si>
  <si>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</si>
  <si>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</si>
  <si>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</si>
  <si>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</si>
  <si>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</si>
  <si>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</si>
  <si>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</si>
  <si>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</si>
  <si>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</si>
  <si>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</si>
  <si>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</si>
  <si>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</si>
  <si>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</si>
  <si>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</si>
  <si>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</si>
  <si>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</si>
  <si>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</si>
  <si>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</si>
  <si>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</si>
  <si>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</si>
  <si>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</si>
  <si>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</si>
  <si>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</si>
  <si>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</si>
  <si>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</si>
  <si>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</si>
  <si>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</si>
  <si>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</si>
  <si>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</si>
  <si>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</si>
  <si>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</si>
  <si>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</si>
  <si>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</si>
  <si>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</si>
  <si>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</si>
  <si>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</si>
  <si>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</si>
  <si>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</si>
  <si>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</si>
  <si>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</si>
  <si>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</si>
  <si>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</si>
  <si>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</si>
  <si>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</si>
  <si>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</si>
  <si>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</si>
  <si>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</si>
  <si>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</si>
  <si>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</si>
  <si>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</si>
  <si>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</si>
  <si>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</si>
  <si>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</si>
  <si>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</si>
  <si>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</si>
  <si>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</si>
  <si>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</si>
  <si>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</si>
  <si>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</si>
  <si>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</si>
  <si>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</si>
  <si>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</si>
  <si>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</si>
  <si>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</si>
  <si>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</si>
  <si>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</si>
  <si>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</si>
  <si>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</si>
  <si>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</si>
  <si>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</si>
  <si>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</si>
  <si>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</si>
  <si>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</si>
  <si>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</si>
  <si>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</si>
  <si>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</si>
  <si>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</si>
  <si>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</si>
  <si>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</si>
  <si>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</si>
  <si>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</si>
  <si>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</si>
  <si>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</si>
  <si>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</si>
  <si>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</si>
  <si>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</si>
  <si>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</si>
  <si>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</si>
  <si>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</si>
  <si>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</si>
  <si>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</si>
  <si>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</si>
  <si>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</si>
  <si>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</si>
  <si>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</si>
  <si>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</si>
  <si>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</si>
  <si>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</si>
  <si>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</si>
  <si>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</si>
  <si>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</si>
  <si>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</si>
  <si>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</si>
  <si>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</si>
  <si>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</si>
  <si>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</si>
  <si>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</si>
  <si>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</si>
  <si>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</si>
  <si>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</si>
  <si>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</si>
  <si>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</si>
  <si>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</si>
  <si>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</si>
  <si>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</si>
  <si>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</si>
  <si>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</si>
  <si>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</si>
  <si>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</si>
  <si>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</si>
  <si>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</si>
  <si>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</si>
  <si>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</si>
  <si>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</si>
  <si>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</si>
  <si>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</si>
  <si>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</si>
  <si>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</si>
  <si>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</si>
  <si>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</si>
  <si>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</si>
  <si>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</si>
  <si>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</si>
  <si>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</si>
  <si>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</si>
  <si>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</si>
  <si>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</si>
  <si>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</si>
  <si>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</si>
  <si>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</si>
  <si>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</si>
  <si>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</si>
  <si>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</si>
  <si>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</si>
  <si>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</si>
  <si>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</si>
  <si>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</si>
  <si>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</si>
  <si>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</si>
  <si>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</si>
  <si>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</si>
  <si>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</si>
  <si>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</si>
  <si>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</si>
  <si>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</si>
  <si>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</si>
  <si>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</si>
  <si>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</si>
  <si>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</si>
  <si>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</si>
  <si>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</si>
  <si>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</si>
  <si>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</si>
  <si>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</si>
  <si>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</si>
  <si>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</si>
  <si>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</si>
  <si>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</si>
  <si>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</si>
  <si>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</si>
  <si>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</si>
  <si>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</si>
  <si>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</si>
  <si>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</si>
  <si>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</si>
  <si>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</si>
  <si>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</si>
  <si>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</si>
  <si>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</si>
  <si>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</si>
  <si>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</si>
  <si>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</si>
  <si>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</si>
  <si>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</si>
  <si>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</si>
  <si>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</si>
  <si>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</si>
  <si>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</si>
  <si>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</si>
  <si>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</si>
  <si>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</si>
  <si>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</si>
  <si>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</si>
  <si>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</si>
  <si>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</si>
  <si>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</si>
  <si>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</si>
  <si>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</si>
  <si>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</si>
  <si>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</si>
  <si>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</si>
  <si>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</si>
  <si>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</si>
  <si>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</si>
  <si>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</si>
  <si>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</si>
  <si>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</si>
  <si>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</si>
  <si>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</si>
  <si>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</si>
  <si>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</si>
  <si>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</si>
  <si>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</si>
  <si>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</si>
  <si>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</si>
  <si>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</si>
  <si>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</si>
  <si>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</si>
  <si>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</si>
  <si>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</si>
  <si>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</si>
  <si>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</si>
  <si>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</si>
  <si>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</si>
  <si>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</si>
  <si>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</si>
  <si>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</si>
  <si>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</si>
  <si>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</si>
  <si>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</si>
  <si>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</si>
  <si>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</si>
  <si>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</si>
  <si>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</si>
  <si>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</si>
  <si>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</si>
  <si>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</si>
  <si>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</si>
  <si>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</si>
  <si>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</si>
  <si>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</si>
  <si>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</si>
  <si>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</si>
  <si>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</si>
  <si>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</si>
  <si>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</si>
  <si>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</si>
  <si>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</si>
  <si>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</si>
  <si>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</si>
  <si>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</si>
  <si>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</si>
  <si>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</si>
  <si>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</si>
  <si>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</si>
  <si>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</si>
  <si>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</si>
  <si>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</si>
  <si>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</si>
  <si>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</si>
  <si>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</si>
  <si>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</si>
  <si>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</si>
  <si>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</si>
  <si>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</si>
  <si>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</si>
  <si>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</si>
  <si>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</si>
  <si>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</si>
  <si>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</si>
  <si>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</si>
  <si>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</si>
  <si>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</si>
  <si>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</si>
  <si>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</si>
  <si>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</si>
  <si>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</si>
  <si>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</si>
  <si>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</si>
  <si>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</si>
  <si>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</si>
  <si>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</si>
  <si>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</si>
  <si>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</si>
  <si>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</si>
  <si>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</si>
  <si>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</si>
  <si>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</si>
  <si>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</si>
  <si>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</si>
  <si>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</si>
  <si>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</si>
  <si>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</si>
  <si>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</si>
  <si>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</si>
  <si>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</si>
  <si>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</si>
  <si>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</si>
  <si>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</si>
  <si>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</si>
  <si>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</si>
  <si>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</si>
  <si>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</si>
  <si>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</si>
  <si>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</si>
  <si>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</si>
  <si>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</si>
  <si>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</si>
  <si>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</si>
  <si>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</si>
  <si>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</si>
  <si>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</si>
  <si>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</si>
  <si>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</si>
  <si>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</si>
  <si>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</si>
  <si>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</si>
  <si>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</si>
  <si>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</si>
  <si>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</si>
  <si>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</si>
  <si>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</si>
  <si>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</si>
  <si>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</si>
  <si>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</si>
  <si>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</si>
  <si>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</si>
  <si>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</si>
  <si>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</si>
  <si>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</si>
  <si>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</si>
  <si>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</si>
  <si>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</si>
  <si>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</si>
  <si>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</si>
  <si>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</si>
  <si>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</si>
  <si>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</si>
  <si>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</si>
  <si>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</si>
  <si>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</si>
  <si>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</si>
  <si>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</si>
  <si>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</si>
  <si>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</si>
  <si>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</si>
  <si>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</si>
  <si>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</si>
  <si>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</si>
  <si>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</si>
  <si>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</si>
  <si>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</si>
  <si>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</si>
  <si>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</si>
  <si>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</si>
  <si>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</si>
  <si>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</si>
  <si>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</si>
  <si>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</si>
  <si>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</si>
  <si>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</si>
  <si>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</si>
  <si>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</si>
  <si>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</si>
  <si>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</si>
  <si>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</si>
  <si>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</si>
  <si>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</si>
  <si>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</si>
  <si>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</si>
  <si>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</si>
  <si>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</si>
  <si>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</si>
  <si>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</si>
  <si>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</si>
  <si>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</si>
  <si>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</si>
  <si>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</si>
  <si>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</si>
  <si>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</si>
  <si>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</si>
  <si>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</si>
  <si>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</si>
  <si>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</si>
  <si>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</si>
  <si>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</si>
  <si>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</si>
  <si>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</si>
  <si>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</si>
  <si>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</si>
  <si>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</si>
  <si>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</si>
  <si>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</si>
  <si>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</si>
  <si>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</si>
  <si>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</si>
  <si>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</si>
  <si>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</si>
  <si>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</si>
  <si>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</si>
  <si>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</si>
  <si>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</si>
  <si>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</si>
  <si>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</si>
  <si>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</si>
  <si>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</si>
  <si>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</si>
  <si>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</si>
  <si>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</si>
  <si>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</si>
  <si>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</si>
  <si>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</si>
  <si>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</si>
  <si>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</si>
  <si>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</si>
  <si>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</si>
  <si>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</si>
  <si>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</si>
  <si>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</si>
  <si>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</si>
  <si>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</si>
  <si>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</si>
  <si>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</si>
  <si>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</si>
  <si>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</si>
  <si>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</si>
  <si>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</si>
  <si>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</si>
  <si>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</si>
  <si>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</si>
  <si>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</si>
  <si>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</si>
  <si>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</si>
  <si>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</si>
  <si>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</si>
  <si>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</si>
  <si>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</si>
  <si>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</si>
  <si>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</si>
  <si>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</si>
  <si>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</si>
  <si>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</si>
  <si>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</si>
  <si>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</si>
  <si>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</si>
  <si>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</si>
  <si>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</si>
  <si>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</si>
  <si>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</si>
  <si>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</si>
  <si>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</si>
  <si>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</si>
  <si>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</si>
  <si>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</si>
  <si>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</si>
  <si>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</si>
  <si>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</si>
  <si>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</si>
  <si>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</si>
  <si>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</si>
  <si>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</si>
  <si>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</si>
  <si>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</si>
  <si>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</si>
  <si>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</si>
  <si>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</si>
  <si>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</si>
  <si>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</si>
  <si>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</si>
  <si>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</si>
  <si>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</si>
  <si>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</si>
  <si>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</si>
  <si>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</si>
  <si>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</si>
  <si>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</si>
  <si>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</si>
  <si>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</si>
  <si>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</si>
  <si>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</si>
  <si>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</si>
  <si>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</si>
  <si>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</si>
  <si>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</si>
  <si>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</si>
  <si>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</si>
  <si>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</si>
  <si>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</si>
  <si>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</si>
  <si>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</si>
  <si>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</si>
  <si>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</si>
  <si>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</si>
  <si>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</si>
  <si>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</si>
  <si>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</si>
  <si>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</si>
  <si>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</si>
  <si>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</si>
  <si>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</si>
  <si>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</si>
  <si>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</si>
  <si>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</si>
  <si>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</si>
  <si>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</si>
  <si>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</si>
  <si>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</si>
  <si>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</si>
  <si>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</si>
  <si>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</si>
  <si>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</si>
  <si>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</si>
  <si>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</si>
  <si>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</si>
  <si>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</si>
  <si>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</si>
  <si>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</si>
  <si>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</si>
  <si>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</si>
  <si>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</si>
  <si>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</si>
  <si>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</si>
  <si>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</si>
  <si>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</si>
  <si>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</si>
  <si>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</si>
  <si>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</si>
  <si>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</si>
  <si>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</si>
  <si>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</si>
  <si>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</si>
  <si>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</si>
  <si>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</si>
  <si>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</si>
  <si>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</si>
  <si>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</si>
  <si>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</si>
  <si>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</si>
  <si>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</si>
  <si>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</si>
  <si>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</si>
  <si>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</si>
  <si>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</si>
  <si>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</si>
  <si>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</si>
  <si>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</si>
  <si>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</si>
  <si>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</si>
  <si>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</si>
  <si>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</si>
  <si>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</si>
  <si>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</si>
  <si>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</si>
  <si>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</si>
  <si>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</si>
  <si>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</si>
  <si>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</si>
  <si>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</si>
  <si>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</si>
  <si>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</si>
  <si>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</si>
  <si>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</si>
  <si>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</si>
  <si>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</si>
  <si>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</si>
  <si>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</si>
  <si>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</si>
  <si>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</si>
  <si>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</si>
  <si>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</si>
  <si>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</si>
  <si>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</si>
  <si>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</si>
  <si>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</si>
  <si>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</si>
  <si>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</si>
  <si>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</si>
  <si>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</si>
  <si>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</si>
  <si>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</si>
  <si>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</si>
  <si>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</si>
  <si>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</si>
  <si>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</si>
  <si>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</si>
  <si>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</si>
  <si>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</si>
  <si>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</si>
  <si>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</si>
  <si>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</si>
  <si>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</si>
  <si>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</si>
  <si>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</si>
  <si>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</si>
  <si>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</si>
  <si>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</si>
  <si>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</si>
  <si>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</si>
  <si>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</si>
  <si>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</si>
  <si>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</si>
  <si>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</si>
  <si>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</si>
  <si>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</si>
  <si>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</si>
  <si>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</si>
  <si>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</si>
  <si>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</si>
  <si>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</si>
  <si>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</si>
  <si>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</si>
  <si>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</si>
  <si>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</si>
  <si>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</si>
  <si>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</si>
  <si>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</si>
  <si>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</si>
  <si>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</si>
  <si>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</si>
  <si>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</si>
  <si>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</si>
  <si>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</si>
  <si>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</si>
  <si>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</si>
  <si>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</si>
  <si>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</si>
  <si>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</si>
  <si>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</si>
  <si>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</si>
  <si>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</si>
  <si>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</si>
  <si>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</si>
  <si>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</si>
  <si>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</si>
  <si>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</si>
  <si>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</si>
  <si>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</si>
  <si>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</si>
  <si>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</si>
  <si>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</si>
  <si>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</si>
  <si>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</si>
  <si>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</si>
  <si>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</si>
  <si>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</si>
  <si>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</si>
  <si>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</si>
  <si>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</si>
  <si>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</si>
  <si>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</si>
  <si>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</si>
  <si>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</si>
  <si>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</si>
  <si>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</si>
  <si>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</si>
  <si>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</si>
  <si>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</si>
  <si>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</si>
  <si>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</si>
  <si>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</si>
  <si>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</si>
  <si>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</si>
  <si>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</si>
  <si>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</si>
  <si>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</si>
  <si>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</si>
  <si>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</si>
  <si>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</si>
  <si>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</si>
  <si>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</si>
  <si>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</si>
  <si>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</si>
  <si>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</si>
  <si>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</si>
  <si>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</si>
  <si>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</si>
  <si>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</si>
  <si>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</si>
  <si>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</si>
  <si>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</si>
  <si>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</si>
  <si>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</si>
  <si>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</si>
  <si>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</si>
  <si>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</si>
  <si>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</si>
  <si>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</si>
  <si>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</si>
  <si>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</si>
  <si>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</si>
  <si>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</si>
  <si>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</si>
  <si>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</si>
  <si>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</si>
  <si>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</si>
  <si>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</si>
  <si>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</si>
  <si>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</si>
  <si>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</si>
  <si>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</si>
  <si>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</si>
  <si>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</si>
  <si>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</si>
  <si>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</si>
  <si>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</si>
  <si>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</si>
  <si>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</si>
  <si>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</si>
  <si>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</si>
  <si>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</si>
  <si>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</si>
  <si>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</si>
  <si>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</si>
  <si>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</si>
  <si>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</si>
  <si>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</si>
  <si>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</si>
  <si>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</si>
  <si>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</si>
  <si>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</si>
  <si>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</si>
  <si>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</si>
  <si>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</si>
  <si>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</si>
  <si>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</si>
  <si>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</si>
  <si>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</si>
  <si>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</si>
  <si>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</si>
  <si>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</si>
  <si>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</si>
  <si>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</si>
  <si>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</si>
  <si>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</si>
  <si>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</si>
  <si>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</si>
  <si>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</si>
  <si>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</si>
  <si>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</si>
  <si>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</si>
  <si>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</si>
  <si>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</si>
  <si>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</si>
  <si>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</si>
  <si>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</si>
  <si>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</si>
  <si>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</si>
  <si>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</si>
  <si>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</si>
  <si>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</si>
  <si>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</si>
  <si>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</si>
  <si>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</si>
  <si>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</si>
  <si>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</si>
  <si>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</si>
  <si>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</si>
  <si>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</si>
  <si>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</si>
  <si>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</si>
  <si>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</si>
  <si>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</si>
  <si>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</si>
  <si>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</si>
  <si>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</si>
  <si>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</si>
  <si>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</si>
  <si>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</si>
  <si>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</si>
  <si>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</si>
  <si>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</si>
  <si>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</si>
  <si>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</si>
  <si>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</si>
  <si>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</si>
  <si>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</si>
  <si>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</si>
  <si>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</si>
  <si>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</si>
  <si>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</si>
  <si>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</si>
  <si>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</si>
  <si>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</si>
  <si>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</si>
  <si>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</si>
  <si>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</si>
  <si>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</si>
  <si>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</si>
  <si>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</si>
  <si>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</si>
  <si>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</si>
  <si>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</si>
  <si>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</si>
  <si>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</si>
  <si>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</si>
  <si>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</si>
  <si>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</si>
  <si>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</si>
  <si>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</si>
  <si>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</si>
  <si>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</si>
  <si>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</si>
  <si>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</si>
  <si>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</si>
  <si>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</si>
  <si>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</si>
  <si>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</si>
  <si>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</si>
  <si>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</si>
  <si>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</si>
  <si>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</si>
  <si>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</si>
  <si>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</si>
  <si>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</si>
  <si>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</si>
  <si>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</si>
  <si>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</si>
  <si>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</si>
  <si>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</si>
  <si>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</si>
  <si>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</si>
  <si>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</si>
  <si>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</si>
  <si>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</si>
  <si>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</si>
  <si>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</si>
  <si>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</si>
  <si>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</si>
  <si>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</si>
  <si>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</si>
  <si>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</si>
  <si>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</si>
  <si>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</si>
  <si>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</si>
  <si>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</si>
  <si>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</si>
  <si>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</si>
  <si>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</si>
  <si>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</si>
  <si>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</si>
  <si>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</si>
  <si>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</si>
  <si>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</si>
  <si>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</si>
  <si>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</si>
  <si>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</si>
  <si>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</si>
  <si>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</si>
  <si>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</si>
  <si>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</si>
  <si>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</si>
  <si>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</si>
  <si>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</si>
  <si>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</si>
  <si>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</si>
  <si>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</si>
  <si>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</si>
  <si>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</si>
  <si>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</si>
  <si>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</si>
  <si>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</si>
  <si>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</si>
  <si>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</si>
  <si>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</si>
  <si>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</si>
  <si>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</si>
  <si>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</si>
  <si>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</si>
  <si>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</si>
  <si>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</si>
  <si>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</si>
  <si>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</si>
  <si>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</si>
  <si>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</si>
  <si>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</si>
  <si>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</si>
  <si>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</si>
  <si>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</si>
  <si>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</si>
  <si>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</si>
  <si>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</si>
  <si>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</si>
  <si>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</si>
  <si>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</si>
  <si>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</si>
  <si>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</si>
  <si>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</si>
  <si>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</si>
  <si>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</si>
  <si>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</si>
  <si>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</si>
  <si>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</si>
  <si>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</si>
  <si>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</si>
  <si>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</si>
  <si>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</si>
  <si>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</si>
  <si>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</si>
  <si>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</si>
  <si>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</si>
  <si>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</si>
  <si>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</si>
  <si>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</si>
  <si>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</si>
  <si>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</si>
  <si>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</si>
  <si>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</si>
  <si>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</si>
  <si>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</si>
  <si>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</si>
  <si>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</si>
  <si>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</si>
  <si>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</si>
  <si>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</si>
  <si>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</si>
  <si>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</si>
  <si>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</si>
  <si>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</si>
  <si>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</si>
  <si>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</si>
  <si>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</si>
  <si>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</si>
  <si>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</si>
  <si>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</si>
  <si>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</si>
  <si>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</si>
  <si>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</si>
  <si>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</si>
  <si>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</si>
  <si>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</si>
  <si>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</si>
  <si>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</si>
  <si>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</si>
  <si>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</si>
  <si>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</si>
  <si>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</si>
  <si>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</si>
  <si>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</si>
  <si>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</si>
  <si>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</si>
  <si>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</si>
  <si>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</si>
  <si>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</si>
  <si>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</si>
  <si>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</si>
  <si>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</si>
  <si>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</si>
  <si>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</si>
  <si>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</si>
  <si>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</si>
  <si>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</si>
  <si>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</si>
  <si>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</si>
  <si>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</si>
  <si>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</si>
  <si>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</si>
  <si>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</si>
  <si>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</si>
  <si>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</si>
  <si>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</si>
  <si>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</si>
  <si>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</si>
  <si>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</si>
  <si>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</si>
  <si>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</si>
  <si>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</si>
  <si>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</si>
  <si>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</si>
  <si>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</si>
  <si>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</si>
  <si>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</si>
  <si>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</si>
  <si>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</si>
  <si>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</si>
  <si>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</si>
  <si>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</si>
  <si>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</si>
  <si>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</si>
  <si>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</si>
  <si>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</si>
  <si>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</si>
  <si>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</si>
  <si>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</si>
  <si>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</si>
  <si>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</si>
  <si>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</si>
  <si>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</si>
  <si>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</si>
  <si>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</si>
  <si>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</si>
  <si>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</si>
  <si>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</si>
  <si>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</si>
  <si>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</si>
  <si>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</si>
  <si>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</si>
  <si>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</si>
  <si>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</si>
  <si>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</si>
  <si>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</si>
  <si>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</si>
  <si>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</si>
  <si>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</si>
  <si>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</si>
  <si>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</si>
  <si>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</si>
  <si>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</si>
  <si>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</si>
  <si>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</si>
  <si>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</si>
  <si>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</si>
  <si>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</si>
  <si>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</si>
  <si>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</si>
  <si>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</si>
  <si>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</si>
  <si>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</si>
  <si>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</si>
  <si>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</si>
  <si>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</si>
  <si>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</si>
  <si>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</si>
  <si>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</si>
  <si>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</si>
  <si>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</si>
  <si>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</si>
  <si>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</si>
  <si>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</si>
  <si>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</si>
  <si>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</si>
  <si>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</si>
  <si>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</si>
  <si>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</si>
  <si>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</si>
  <si>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</si>
  <si>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</si>
  <si>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</si>
  <si>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</si>
  <si>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</si>
  <si>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</si>
  <si>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</si>
  <si>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</si>
  <si>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</si>
  <si>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</si>
  <si>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</si>
  <si>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</si>
  <si>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</si>
  <si>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</si>
  <si>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</si>
  <si>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</si>
  <si>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</si>
  <si>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</si>
  <si>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</si>
  <si>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</si>
  <si>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</si>
  <si>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</si>
  <si>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</si>
  <si>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</si>
  <si>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</si>
  <si>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</si>
  <si>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</si>
  <si>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</si>
  <si>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</si>
  <si>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</si>
  <si>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</si>
  <si>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</si>
  <si>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</si>
  <si>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</si>
  <si>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</si>
  <si>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</si>
  <si>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</si>
  <si>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</si>
  <si>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</si>
  <si>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</si>
  <si>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</si>
  <si>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</si>
  <si>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</si>
  <si>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</si>
  <si>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</si>
  <si>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</si>
  <si>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</si>
  <si>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</si>
  <si>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</si>
  <si>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</si>
  <si>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</si>
  <si>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</si>
  <si>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</si>
  <si>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</si>
  <si>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</si>
  <si>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</si>
  <si>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</si>
  <si>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</si>
  <si>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</si>
  <si>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</si>
  <si>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</si>
  <si>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</si>
  <si>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</si>
  <si>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</si>
  <si>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</si>
  <si>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</si>
  <si>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</si>
  <si>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</si>
  <si>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</si>
  <si>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</si>
  <si>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</si>
  <si>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</si>
  <si>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</si>
  <si>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</si>
  <si>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</si>
  <si>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</si>
  <si>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</si>
  <si>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</si>
  <si>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</si>
  <si>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</si>
  <si>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</si>
  <si>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</si>
  <si>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</si>
  <si>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</si>
  <si>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</si>
  <si>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</si>
  <si>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</si>
  <si>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</si>
  <si>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</si>
  <si>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</si>
  <si>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</si>
  <si>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</si>
  <si>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</si>
  <si>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</si>
  <si>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</si>
  <si>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</si>
  <si>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</si>
  <si>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</si>
  <si>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</si>
  <si>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</si>
  <si>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</si>
  <si>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</si>
  <si>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</si>
  <si>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</si>
  <si>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</si>
  <si>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</si>
  <si>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</si>
  <si>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</si>
  <si>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</si>
  <si>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</si>
  <si>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</si>
  <si>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</si>
  <si>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</si>
  <si>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</si>
  <si>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</si>
  <si>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</si>
  <si>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</si>
  <si>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</si>
  <si>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</si>
  <si>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</si>
  <si>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</si>
  <si>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</si>
  <si>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</si>
  <si>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</si>
  <si>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</si>
  <si>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</si>
  <si>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</si>
  <si>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</si>
  <si>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</si>
  <si>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</si>
  <si>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</si>
  <si>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</si>
  <si>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</si>
  <si>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</si>
  <si>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</si>
  <si>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</si>
  <si>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</si>
  <si>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</si>
  <si>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</si>
  <si>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</si>
  <si>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</si>
  <si>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</si>
  <si>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</si>
  <si>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</si>
  <si>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</si>
  <si>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</si>
  <si>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</si>
  <si>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</si>
  <si>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</si>
  <si>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</si>
  <si>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</si>
  <si>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</si>
  <si>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</si>
  <si>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</si>
  <si>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</si>
  <si>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</si>
  <si>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</si>
  <si>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</si>
  <si>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</si>
  <si>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</si>
  <si>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</si>
  <si>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</si>
  <si>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</si>
  <si>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</si>
  <si>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</si>
  <si>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</si>
  <si>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</si>
  <si>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</si>
  <si>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</si>
  <si>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</si>
  <si>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</si>
  <si>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</si>
  <si>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</si>
  <si>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</si>
  <si>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</si>
  <si>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</si>
  <si>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</si>
  <si>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</si>
  <si>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</si>
  <si>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</si>
  <si>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</si>
  <si>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</si>
  <si>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</si>
  <si>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</si>
  <si>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</si>
  <si>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</si>
  <si>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</si>
  <si>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</si>
  <si>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</si>
  <si>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</si>
  <si>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</si>
  <si>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</si>
  <si>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</si>
  <si>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</si>
  <si>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</si>
  <si>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</si>
  <si>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</si>
  <si>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</si>
  <si>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</si>
  <si>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</si>
  <si>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</si>
  <si>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</si>
  <si>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</si>
  <si>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</si>
  <si>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</si>
  <si>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</si>
  <si>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</si>
  <si>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</si>
  <si>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</si>
  <si>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</si>
  <si>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</si>
  <si>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</si>
  <si>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</si>
  <si>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</si>
  <si>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</si>
  <si>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</si>
  <si>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</si>
  <si>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</si>
  <si>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</si>
  <si>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</si>
  <si>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</si>
  <si>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</si>
  <si>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</si>
  <si>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</si>
  <si>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</si>
  <si>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</si>
  <si>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</si>
  <si>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</si>
  <si>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</si>
  <si>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</si>
  <si>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</si>
  <si>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</si>
  <si>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</si>
  <si>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</si>
  <si>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</si>
  <si>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</si>
  <si>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</si>
  <si>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</si>
  <si>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</si>
  <si>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</si>
  <si>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</si>
  <si>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</si>
  <si>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</si>
  <si>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</si>
  <si>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</si>
  <si>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</si>
  <si>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</si>
  <si>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</si>
  <si>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</si>
  <si>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</si>
  <si>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</si>
  <si>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</si>
  <si>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</si>
  <si>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</si>
  <si>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</si>
  <si>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</si>
  <si>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</si>
  <si>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</si>
  <si>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</si>
  <si>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</si>
  <si>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</si>
  <si>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</si>
  <si>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</si>
  <si>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</si>
  <si>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</si>
  <si>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</si>
  <si>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</si>
  <si>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</si>
  <si>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</si>
  <si>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</si>
  <si>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</si>
  <si>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</si>
  <si>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</si>
  <si>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</si>
  <si>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</si>
  <si>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</si>
  <si>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</si>
  <si>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</si>
  <si>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</si>
  <si>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</si>
  <si>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</si>
  <si>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</si>
  <si>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</si>
  <si>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</si>
  <si>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</si>
  <si>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</si>
  <si>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</si>
  <si>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</si>
  <si>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</si>
  <si>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</si>
  <si>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</si>
  <si>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</si>
  <si>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</si>
  <si>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</si>
  <si>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</si>
  <si>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</si>
  <si>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</si>
  <si>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</si>
  <si>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</si>
  <si>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</si>
  <si>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</si>
  <si>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</si>
  <si>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</si>
  <si>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</si>
  <si>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</si>
  <si>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</si>
  <si>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</si>
  <si>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</si>
  <si>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</si>
  <si>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</si>
  <si>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</si>
  <si>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</si>
  <si>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</si>
  <si>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</si>
  <si>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</si>
  <si>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</si>
  <si>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</si>
  <si>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</si>
  <si>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</si>
  <si>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</si>
  <si>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</si>
  <si>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</si>
  <si>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</si>
  <si>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</si>
  <si>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</si>
  <si>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</si>
  <si>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</si>
  <si>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</si>
  <si>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</si>
  <si>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</si>
  <si>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</si>
  <si>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</si>
  <si>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</si>
  <si>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</si>
  <si>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</si>
  <si>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</si>
  <si>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</si>
  <si>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</si>
  <si>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</si>
  <si>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</si>
  <si>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</si>
  <si>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</si>
  <si>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</si>
  <si>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</si>
  <si>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</si>
  <si>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</si>
  <si>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</si>
  <si>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</si>
  <si>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</si>
  <si>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</si>
  <si>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</si>
  <si>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</si>
  <si>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</si>
  <si>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</si>
  <si>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</si>
  <si>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</si>
  <si>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</si>
  <si>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</si>
  <si>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</si>
  <si>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</si>
  <si>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</si>
  <si>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</si>
  <si>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</si>
  <si>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</si>
  <si>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</si>
  <si>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</si>
  <si>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</si>
  <si>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</si>
  <si>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</si>
  <si>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</si>
  <si>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</si>
  <si>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</si>
  <si>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</si>
  <si>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</si>
  <si>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</si>
  <si>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</si>
  <si>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</si>
  <si>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</si>
  <si>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</si>
  <si>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</si>
  <si>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</si>
  <si>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</si>
  <si>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</si>
  <si>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</si>
  <si>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</si>
  <si>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</si>
  <si>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</si>
  <si>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</si>
  <si>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</si>
  <si>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</si>
  <si>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</si>
  <si>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</si>
  <si>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</si>
  <si>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</si>
  <si>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</si>
  <si>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</si>
  <si>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</si>
  <si>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</si>
  <si>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</si>
  <si>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</si>
  <si>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</si>
  <si>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</si>
  <si>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</si>
  <si>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</si>
  <si>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</si>
  <si>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</si>
  <si>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</si>
  <si>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</si>
  <si>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</si>
  <si>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</si>
  <si>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</si>
  <si>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</si>
  <si>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</si>
  <si>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</si>
  <si>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</si>
  <si>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</si>
  <si>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</si>
  <si>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</si>
  <si>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</si>
  <si>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</si>
  <si>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</si>
  <si>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</si>
  <si>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</si>
  <si>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</si>
  <si>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</si>
  <si>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</si>
  <si>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</si>
  <si>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</si>
  <si>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</si>
  <si>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</si>
  <si>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</si>
  <si>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</si>
  <si>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</si>
  <si>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</si>
  <si>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</si>
  <si>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</si>
  <si>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</si>
  <si>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</si>
  <si>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</si>
  <si>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</si>
  <si>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</si>
  <si>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</si>
  <si>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</si>
  <si>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</si>
  <si>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</si>
  <si>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</si>
  <si>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</si>
  <si>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</si>
  <si>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</si>
  <si>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</si>
  <si>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</si>
  <si>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</si>
  <si>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</si>
  <si>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</si>
  <si>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</si>
  <si>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</si>
  <si>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</si>
  <si>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</si>
  <si>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</si>
  <si>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</si>
  <si>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</si>
  <si>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</si>
  <si>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</si>
  <si>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</si>
  <si>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</si>
  <si>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</si>
  <si>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</si>
  <si>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</si>
  <si>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</si>
  <si>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</si>
  <si>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</si>
  <si>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</si>
  <si>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</si>
  <si>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</si>
  <si>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</si>
  <si>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</si>
  <si>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</si>
  <si>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</si>
  <si>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</si>
  <si>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</si>
  <si>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</si>
  <si>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</si>
  <si>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</si>
  <si>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</si>
  <si>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</si>
  <si>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</si>
  <si>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</si>
  <si>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</si>
  <si>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</si>
  <si>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</si>
  <si>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</si>
  <si>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</si>
  <si>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</si>
  <si>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</si>
  <si>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</si>
  <si>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</si>
  <si>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</si>
  <si>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</si>
  <si>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</si>
  <si>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</si>
  <si>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</si>
  <si>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</si>
  <si>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</si>
  <si>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</si>
  <si>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</si>
  <si>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</si>
  <si>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</si>
  <si>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</si>
  <si>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</si>
  <si>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</si>
  <si>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</si>
  <si>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</si>
  <si>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</si>
  <si>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</si>
  <si>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</si>
  <si>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</si>
  <si>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</si>
  <si>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</si>
  <si>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</si>
  <si>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</si>
  <si>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</si>
  <si>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</si>
  <si>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</si>
  <si>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</si>
  <si>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</si>
  <si>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</si>
  <si>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</si>
  <si>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</si>
  <si>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</si>
  <si>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</si>
  <si>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</si>
  <si>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</si>
  <si>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</si>
  <si>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</si>
  <si>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</si>
  <si>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</si>
  <si>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</si>
  <si>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</si>
  <si>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</si>
  <si>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</si>
  <si>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</si>
  <si>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</si>
  <si>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</si>
  <si>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</si>
  <si>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</si>
  <si>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</si>
  <si>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</si>
  <si>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</si>
  <si>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</si>
  <si>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</si>
  <si>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</si>
  <si>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</si>
  <si>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</si>
  <si>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</si>
  <si>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</si>
  <si>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</si>
  <si>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</si>
  <si>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</si>
  <si>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</si>
  <si>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</si>
  <si>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</si>
  <si>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</si>
  <si>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</si>
  <si>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</si>
  <si>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</si>
  <si>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</si>
  <si>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</si>
  <si>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</si>
  <si>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</si>
  <si>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</si>
  <si>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</si>
  <si>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</si>
  <si>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</si>
  <si>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</si>
  <si>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</si>
  <si>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</si>
  <si>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</si>
  <si>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</si>
  <si>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</si>
  <si>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</si>
  <si>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</si>
  <si>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</si>
  <si>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</si>
  <si>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</si>
  <si>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</si>
  <si>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</si>
  <si>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</si>
  <si>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</si>
  <si>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</si>
  <si>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</si>
  <si>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</si>
  <si>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</si>
  <si>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</si>
  <si>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</si>
  <si>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</si>
  <si>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</si>
  <si>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</si>
  <si>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</si>
  <si>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</si>
  <si>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</si>
  <si>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</si>
  <si>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</si>
  <si>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</si>
  <si>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</si>
  <si>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</si>
  <si>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</si>
  <si>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</si>
  <si>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</si>
  <si>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</si>
  <si>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</si>
  <si>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</si>
  <si>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</si>
  <si>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</si>
  <si>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</si>
  <si>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</si>
  <si>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</si>
  <si>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</si>
  <si>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</si>
  <si>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</si>
  <si>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</si>
  <si>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</si>
  <si>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</si>
  <si>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</si>
  <si>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</si>
  <si>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</si>
  <si>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</si>
  <si>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</si>
  <si>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</si>
  <si>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</si>
  <si>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</si>
  <si>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</si>
  <si>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</si>
  <si>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</si>
  <si>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</si>
  <si>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</si>
  <si>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</si>
  <si>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</si>
  <si>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</si>
  <si>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</si>
  <si>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</si>
  <si>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</si>
  <si>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</si>
  <si>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</si>
  <si>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</si>
  <si>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</si>
  <si>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</si>
  <si>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</si>
  <si>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</si>
  <si>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</si>
  <si>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</si>
  <si>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</si>
  <si>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</si>
  <si>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</si>
  <si>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</si>
  <si>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</si>
  <si>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</si>
  <si>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</si>
  <si>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</si>
  <si>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</si>
  <si>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</si>
  <si>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</si>
  <si>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</si>
  <si>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</si>
  <si>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</si>
  <si>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</si>
  <si>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</si>
  <si>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</si>
  <si>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</si>
  <si>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</si>
  <si>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</si>
  <si>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</si>
  <si>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</si>
  <si>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</si>
  <si>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</si>
  <si>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</si>
  <si>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</si>
  <si>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</si>
  <si>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</si>
  <si>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</si>
  <si>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</si>
  <si>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</si>
  <si>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</si>
  <si>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</si>
  <si>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</si>
  <si>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</si>
  <si>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</si>
  <si>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</si>
  <si>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</si>
  <si>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</si>
  <si>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</si>
  <si>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</si>
  <si>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</si>
  <si>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</si>
  <si>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</si>
  <si>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</si>
  <si>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</si>
  <si>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</si>
  <si>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</si>
  <si>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</si>
  <si>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</si>
  <si>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</si>
  <si>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</si>
  <si>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</si>
  <si>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</si>
  <si>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</si>
  <si>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</si>
  <si>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</si>
  <si>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</si>
  <si>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</si>
  <si>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</si>
  <si>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</si>
  <si>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</si>
  <si>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</si>
  <si>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</si>
  <si>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</si>
  <si>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</si>
  <si>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</si>
  <si>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</si>
  <si>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</si>
  <si>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</si>
  <si>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</si>
  <si>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</si>
  <si>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</si>
  <si>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</si>
  <si>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</si>
  <si>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</si>
  <si>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</si>
  <si>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</si>
  <si>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</si>
  <si>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</si>
  <si>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</si>
  <si>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</si>
  <si>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</si>
  <si>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</si>
  <si>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</si>
  <si>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</si>
  <si>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</si>
  <si>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</si>
  <si>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</si>
  <si>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</si>
  <si>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</si>
  <si>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</si>
  <si>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</si>
  <si>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</si>
  <si>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</si>
  <si>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</si>
  <si>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</si>
  <si>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</si>
  <si>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</si>
  <si>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</si>
  <si>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</si>
  <si>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</si>
  <si>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</si>
  <si>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</si>
  <si>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</si>
  <si>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</si>
  <si>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</si>
  <si>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</si>
  <si>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</si>
  <si>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</si>
  <si>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</si>
  <si>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</si>
  <si>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</si>
  <si>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</si>
  <si>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</si>
  <si>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</si>
  <si>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</si>
  <si>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</si>
  <si>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</si>
  <si>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</si>
  <si>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</si>
  <si>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</si>
  <si>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</si>
  <si>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</si>
  <si>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</si>
  <si>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</si>
  <si>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</si>
  <si>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</si>
  <si>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</si>
  <si>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</si>
  <si>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</si>
  <si>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</si>
  <si>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</si>
  <si>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</si>
  <si>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</si>
  <si>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</si>
  <si>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</si>
  <si>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</si>
  <si>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</si>
  <si>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</si>
  <si>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</si>
  <si>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</si>
  <si>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</si>
  <si>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</si>
  <si>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</si>
  <si>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</si>
  <si>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</si>
  <si>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</si>
  <si>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</si>
  <si>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</si>
  <si>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</si>
  <si>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</si>
  <si>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</si>
  <si>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</si>
  <si>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</si>
  <si>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</si>
  <si>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</si>
  <si>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</si>
  <si>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</si>
  <si>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</si>
  <si>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</si>
  <si>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</si>
  <si>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</si>
  <si>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</si>
  <si>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</si>
  <si>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</si>
  <si>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</si>
  <si>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</si>
  <si>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</si>
  <si>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</si>
  <si>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</si>
  <si>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</si>
  <si>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</si>
  <si>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</si>
  <si>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</si>
  <si>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</si>
  <si>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</si>
  <si>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</si>
  <si>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</si>
  <si>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</si>
  <si>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</si>
  <si>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</si>
  <si>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</si>
  <si>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</si>
  <si>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</si>
  <si>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</si>
  <si>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</si>
  <si>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</si>
  <si>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</si>
  <si>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</si>
  <si>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</si>
  <si>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</si>
  <si>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</si>
  <si>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</si>
  <si>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</si>
  <si>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</si>
  <si>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</si>
  <si>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</si>
  <si>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</si>
  <si>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</si>
  <si>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</si>
  <si>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</si>
  <si>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</si>
  <si>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</si>
  <si>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</si>
  <si>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</si>
  <si>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</si>
  <si>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</si>
  <si>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</si>
  <si>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</si>
  <si>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</si>
  <si>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</si>
  <si>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</si>
  <si>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</si>
  <si>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</si>
  <si>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</si>
  <si>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</si>
  <si>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</si>
  <si>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</si>
  <si>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</si>
  <si>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</si>
  <si>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</si>
  <si>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</si>
  <si>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</si>
  <si>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</si>
  <si>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</si>
  <si>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</si>
  <si>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</si>
  <si>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</si>
  <si>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</si>
  <si>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</si>
  <si>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</si>
  <si>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</si>
  <si>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</si>
  <si>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</si>
  <si>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</si>
  <si>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</si>
  <si>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</si>
  <si>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</si>
  <si>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</si>
  <si>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</si>
  <si>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</si>
  <si>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</si>
  <si>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</si>
  <si>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</si>
  <si>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</si>
  <si>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</si>
  <si>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</si>
  <si>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</si>
  <si>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</si>
  <si>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</si>
  <si>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</si>
  <si>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</si>
  <si>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</si>
  <si>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</si>
  <si>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</si>
  <si>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</si>
  <si>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</si>
  <si>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</si>
  <si>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</si>
  <si>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</si>
  <si>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</si>
  <si>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</si>
  <si>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</si>
  <si>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</si>
  <si>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</si>
  <si>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</si>
  <si>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</si>
  <si>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</si>
  <si>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</si>
  <si>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</si>
  <si>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</si>
  <si>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</si>
  <si>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</si>
  <si>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</si>
  <si>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</si>
  <si>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</si>
  <si>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</si>
  <si>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</si>
  <si>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</si>
  <si>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</si>
  <si>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</si>
  <si>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</si>
  <si>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</si>
  <si>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</si>
  <si>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</si>
  <si>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</si>
  <si>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</si>
  <si>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</si>
  <si>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</si>
  <si>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</si>
  <si>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</si>
  <si>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</si>
  <si>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</si>
  <si>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</si>
  <si>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</si>
  <si>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</si>
  <si>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</si>
  <si>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</si>
  <si>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</si>
  <si>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</si>
  <si>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</si>
  <si>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</si>
  <si>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</si>
  <si>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</si>
  <si>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</si>
  <si>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</si>
  <si>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</si>
  <si>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</si>
  <si>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</si>
  <si>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</si>
  <si>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</si>
  <si>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</si>
  <si>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</si>
  <si>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</si>
  <si>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</si>
  <si>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</si>
  <si>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</si>
  <si>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</si>
  <si>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</si>
  <si>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</si>
  <si>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</si>
  <si>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</si>
  <si>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</si>
  <si>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</si>
  <si>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</si>
  <si>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</si>
  <si>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</si>
  <si>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</si>
  <si>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</si>
  <si>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</si>
  <si>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</si>
  <si>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</si>
  <si>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</si>
  <si>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</si>
  <si>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</si>
  <si>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</si>
  <si>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</si>
  <si>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</si>
  <si>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</si>
  <si>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</si>
  <si>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</si>
  <si>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</si>
  <si>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</si>
  <si>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</si>
  <si>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</si>
  <si>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</si>
  <si>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</si>
  <si>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</si>
  <si>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</si>
  <si>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</si>
  <si>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</si>
  <si>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</si>
  <si>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</si>
  <si>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</si>
  <si>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</si>
  <si>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</si>
  <si>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</si>
  <si>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</si>
  <si>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</si>
  <si>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</si>
  <si>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</si>
  <si>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</si>
  <si>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</si>
  <si>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</si>
  <si>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</si>
  <si>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</si>
  <si>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</si>
  <si>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</si>
  <si>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</si>
  <si>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</si>
  <si>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</si>
  <si>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</si>
  <si>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</si>
  <si>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</si>
  <si>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</si>
  <si>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</si>
  <si>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</si>
  <si>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</si>
  <si>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</si>
  <si>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</si>
  <si>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</si>
  <si>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</si>
  <si>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</si>
  <si>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</si>
  <si>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</si>
  <si>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</si>
  <si>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</si>
  <si>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</si>
  <si>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NICHICON CORPORATION</t>
  </si>
  <si>
    <t>Miniature type aluminum electrolytic capacitors, Chip type aluminum electrolytic capacitors, Conductive polymer hybrid aluminum electrolytic capacitors, Large can type aluminum electrolytic capacitors</t>
    <phoneticPr fontId="0"/>
  </si>
  <si>
    <t>MAIKA TSUCHIE</t>
  </si>
  <si>
    <t>tsuchie.maika@nichicon.com</t>
  </si>
  <si>
    <t>075-241-5335</t>
  </si>
  <si>
    <t>KENJI WATANABE</t>
  </si>
  <si>
    <t>watanabe.kenji@nichicon.com</t>
  </si>
  <si>
    <t>100%</t>
  </si>
  <si>
    <t>https://www.nichicon.co.jp/company/sustainability/society/supply_chain/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</si>
</sst>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nichicon.co.jp/company/sustainability/society/supply_chain/"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20">
      <c r="A13" s="305"/>
      <c r="B13" s="2">
        <v>1</v>
      </c>
      <c r="C13" s="27" t="s">
        <v>1057</v>
      </c>
      <c r="D13" s="28" t="s">
        <v>847</v>
      </c>
      <c r="E13" s="163" t="s">
        <v>824</v>
      </c>
      <c r="F13" s="163"/>
      <c r="G13" s="25"/>
    </row>
    <row r="14" spans="1:7" ht="30">
      <c r="A14" s="305"/>
      <c r="B14" s="2">
        <v>2</v>
      </c>
      <c r="C14" s="27" t="s">
        <v>1057</v>
      </c>
      <c r="D14" s="28" t="s">
        <v>994</v>
      </c>
      <c r="E14" s="163" t="s">
        <v>515</v>
      </c>
      <c r="F14" s="163" t="s">
        <v>516</v>
      </c>
      <c r="G14" s="25"/>
    </row>
    <row r="15" spans="1:7" ht="89.15"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150000000000006"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5"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99999999999999" customHeight="1">
      <c r="A28" s="305"/>
      <c r="B28" s="294"/>
      <c r="C28" s="312"/>
      <c r="D28" s="315"/>
      <c r="E28" s="303"/>
      <c r="F28" s="165" t="s">
        <v>56</v>
      </c>
      <c r="G28" s="25"/>
    </row>
    <row r="29" spans="1:7" ht="74.5" customHeight="1">
      <c r="A29" s="305"/>
      <c r="B29" s="294"/>
      <c r="C29" s="312"/>
      <c r="D29" s="315"/>
      <c r="E29" s="303"/>
      <c r="F29" s="165" t="s">
        <v>57</v>
      </c>
      <c r="G29" s="25"/>
    </row>
    <row r="30" spans="1:7" ht="62.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5" customHeight="1">
      <c r="A33" s="305"/>
      <c r="B33" s="294"/>
      <c r="C33" s="312"/>
      <c r="D33" s="315"/>
      <c r="E33" s="303"/>
      <c r="F33" s="165" t="s">
        <v>61</v>
      </c>
      <c r="G33" s="25"/>
    </row>
    <row r="34" spans="1:7" ht="89.15" customHeight="1">
      <c r="A34" s="305"/>
      <c r="B34" s="294"/>
      <c r="C34" s="312"/>
      <c r="D34" s="315"/>
      <c r="E34" s="303"/>
      <c r="F34" s="165" t="s">
        <v>63</v>
      </c>
      <c r="G34" s="25"/>
    </row>
    <row r="35" spans="1:7" ht="29.15" customHeight="1">
      <c r="A35" s="305"/>
      <c r="B35" s="294"/>
      <c r="C35" s="312"/>
      <c r="D35" s="315"/>
      <c r="E35" s="303"/>
      <c r="F35" s="165" t="s">
        <v>64</v>
      </c>
      <c r="G35" s="25"/>
    </row>
    <row r="36" spans="1:7" ht="111">
      <c r="A36" s="305"/>
      <c r="B36" s="295"/>
      <c r="C36" s="313"/>
      <c r="D36" s="316"/>
      <c r="E36" s="304"/>
      <c r="F36" s="166" t="s">
        <v>65</v>
      </c>
      <c r="G36" s="25"/>
    </row>
    <row r="37" spans="1:7" ht="100">
      <c r="A37" s="305"/>
      <c r="B37" s="141">
        <v>3.01</v>
      </c>
      <c r="C37" s="142" t="s">
        <v>66</v>
      </c>
      <c r="D37" s="28" t="s">
        <v>2203</v>
      </c>
      <c r="E37" s="167" t="s">
        <v>1294</v>
      </c>
      <c r="F37" s="168" t="s">
        <v>1396</v>
      </c>
      <c r="G37" s="25"/>
    </row>
    <row r="38" spans="1:7" ht="90">
      <c r="A38" s="305"/>
      <c r="B38" s="141">
        <v>3.02</v>
      </c>
      <c r="C38" s="142" t="s">
        <v>1326</v>
      </c>
      <c r="D38" s="28" t="s">
        <v>2204</v>
      </c>
      <c r="E38" s="167" t="s">
        <v>1341</v>
      </c>
      <c r="F38" s="168" t="s">
        <v>1397</v>
      </c>
      <c r="G38" s="25"/>
    </row>
    <row r="39" spans="1:7" ht="80">
      <c r="A39" s="305"/>
      <c r="B39" s="150">
        <v>4</v>
      </c>
      <c r="C39" s="149" t="s">
        <v>1492</v>
      </c>
      <c r="D39" s="28" t="s">
        <v>2205</v>
      </c>
      <c r="E39" s="27" t="s">
        <v>2151</v>
      </c>
      <c r="F39" s="27" t="s">
        <v>1493</v>
      </c>
      <c r="G39" s="25"/>
    </row>
    <row r="40" spans="1:7" ht="50">
      <c r="A40" s="305"/>
      <c r="B40" s="141">
        <v>4.01</v>
      </c>
      <c r="C40" s="149" t="s">
        <v>1492</v>
      </c>
      <c r="D40" s="28" t="s">
        <v>2207</v>
      </c>
      <c r="E40" s="27" t="s">
        <v>2163</v>
      </c>
      <c r="F40" s="27" t="s">
        <v>2167</v>
      </c>
      <c r="G40" s="25"/>
    </row>
    <row r="41" spans="1:7" ht="50">
      <c r="A41" s="305"/>
      <c r="B41" s="141" t="s">
        <v>2194</v>
      </c>
      <c r="C41" s="149" t="s">
        <v>1492</v>
      </c>
      <c r="D41" s="28" t="s">
        <v>2206</v>
      </c>
      <c r="E41" s="27" t="s">
        <v>2197</v>
      </c>
      <c r="F41" s="27" t="s">
        <v>2195</v>
      </c>
      <c r="G41" s="25"/>
    </row>
    <row r="42" spans="1:7" ht="50">
      <c r="A42" s="305"/>
      <c r="B42" s="141" t="s">
        <v>2228</v>
      </c>
      <c r="C42" s="149" t="s">
        <v>1492</v>
      </c>
      <c r="D42" s="28" t="s">
        <v>2233</v>
      </c>
      <c r="E42" s="27" t="s">
        <v>2196</v>
      </c>
      <c r="F42" s="27" t="s">
        <v>2229</v>
      </c>
      <c r="G42" s="25"/>
    </row>
    <row r="43" spans="1:7" ht="110">
      <c r="A43" s="305"/>
      <c r="B43" s="160">
        <v>4.0999999999999996</v>
      </c>
      <c r="C43" s="149" t="s">
        <v>2232</v>
      </c>
      <c r="D43" s="161">
        <v>42867</v>
      </c>
      <c r="E43" s="169" t="s">
        <v>2235</v>
      </c>
      <c r="F43" s="27" t="s">
        <v>2234</v>
      </c>
      <c r="G43" s="25"/>
    </row>
    <row r="44" spans="1:7" ht="70">
      <c r="A44" s="305"/>
      <c r="B44" s="160">
        <v>4.2</v>
      </c>
      <c r="C44" s="149" t="s">
        <v>2232</v>
      </c>
      <c r="D44" s="161">
        <v>42704</v>
      </c>
      <c r="E44" s="169" t="s">
        <v>2431</v>
      </c>
      <c r="F44" s="27" t="s">
        <v>2406</v>
      </c>
      <c r="G44" s="25"/>
    </row>
    <row r="45" spans="1:7" ht="130">
      <c r="A45" s="305"/>
      <c r="B45" s="202">
        <v>5</v>
      </c>
      <c r="C45" s="149" t="s">
        <v>2232</v>
      </c>
      <c r="D45" s="161">
        <v>42867</v>
      </c>
      <c r="E45" s="169" t="s">
        <v>12652</v>
      </c>
      <c r="F45" s="27" t="s">
        <v>12374</v>
      </c>
      <c r="G45" s="25"/>
    </row>
    <row r="46" spans="1:7" ht="30">
      <c r="A46" s="305"/>
      <c r="B46" s="160">
        <v>5.01</v>
      </c>
      <c r="C46" s="149" t="s">
        <v>2232</v>
      </c>
      <c r="D46" s="161">
        <v>42907</v>
      </c>
      <c r="E46" s="169" t="s">
        <v>15329</v>
      </c>
      <c r="F46" s="27" t="s">
        <v>12374</v>
      </c>
      <c r="G46" s="25"/>
    </row>
    <row r="47" spans="1:7" ht="60">
      <c r="A47" s="305"/>
      <c r="B47" s="160">
        <v>5.0999999999999996</v>
      </c>
      <c r="C47" s="149" t="s">
        <v>2232</v>
      </c>
      <c r="D47" s="161">
        <v>43070</v>
      </c>
      <c r="E47" s="169" t="s">
        <v>12862</v>
      </c>
      <c r="F47" s="27" t="s">
        <v>12863</v>
      </c>
      <c r="G47" s="25"/>
    </row>
    <row r="48" spans="1:7" ht="50">
      <c r="A48" s="305"/>
      <c r="B48" s="160">
        <v>5.1100000000000003</v>
      </c>
      <c r="C48" s="149" t="s">
        <v>13097</v>
      </c>
      <c r="D48" s="161">
        <v>43217</v>
      </c>
      <c r="E48" s="169" t="s">
        <v>13199</v>
      </c>
      <c r="F48" s="27" t="s">
        <v>13124</v>
      </c>
      <c r="G48" s="25"/>
    </row>
    <row r="49" spans="1:7" ht="50">
      <c r="A49" s="305"/>
      <c r="B49" s="160">
        <v>5.12</v>
      </c>
      <c r="C49" s="149" t="s">
        <v>13097</v>
      </c>
      <c r="D49" s="161">
        <v>43581</v>
      </c>
      <c r="E49" s="169" t="s">
        <v>13199</v>
      </c>
      <c r="F49" s="27" t="s">
        <v>13741</v>
      </c>
      <c r="G49" s="25"/>
    </row>
    <row r="50" spans="1:7" ht="70">
      <c r="A50" s="305"/>
      <c r="B50" s="202">
        <v>6</v>
      </c>
      <c r="C50" s="149" t="s">
        <v>13097</v>
      </c>
      <c r="D50" s="161">
        <v>43964</v>
      </c>
      <c r="E50" s="169" t="s">
        <v>13953</v>
      </c>
      <c r="F50" s="27" t="s">
        <v>13744</v>
      </c>
      <c r="G50" s="25"/>
    </row>
    <row r="51" spans="1:7" ht="40">
      <c r="A51" s="305"/>
      <c r="B51" s="160">
        <v>6.01</v>
      </c>
      <c r="C51" s="149" t="s">
        <v>13097</v>
      </c>
      <c r="D51" s="161">
        <v>43970</v>
      </c>
      <c r="E51" s="169" t="s">
        <v>15330</v>
      </c>
      <c r="F51" s="169" t="s">
        <v>13744</v>
      </c>
      <c r="G51" s="25"/>
    </row>
    <row r="52" spans="1:7" ht="40">
      <c r="A52" s="305"/>
      <c r="B52" s="160">
        <v>6.1</v>
      </c>
      <c r="C52" s="149" t="s">
        <v>13097</v>
      </c>
      <c r="D52" s="161">
        <v>44314</v>
      </c>
      <c r="E52" s="169" t="s">
        <v>15323</v>
      </c>
      <c r="F52" s="169" t="s">
        <v>14913</v>
      </c>
      <c r="G52" s="25"/>
    </row>
    <row r="53" spans="1:7" ht="40">
      <c r="A53" s="305"/>
      <c r="B53" s="160">
        <v>6.2</v>
      </c>
      <c r="C53" s="149" t="s">
        <v>13097</v>
      </c>
      <c r="D53" s="161">
        <v>44678</v>
      </c>
      <c r="E53" s="169" t="s">
        <v>15323</v>
      </c>
      <c r="F53" s="169" t="s">
        <v>15322</v>
      </c>
      <c r="G53" s="25"/>
    </row>
    <row r="54" spans="1:7" ht="40">
      <c r="A54" s="305"/>
      <c r="B54" s="160">
        <v>6.21</v>
      </c>
      <c r="C54" s="149" t="s">
        <v>13097</v>
      </c>
      <c r="D54" s="161">
        <v>44687</v>
      </c>
      <c r="E54" s="169" t="s">
        <v>15331</v>
      </c>
      <c r="F54" s="169" t="s">
        <v>15322</v>
      </c>
      <c r="G54" s="25"/>
    </row>
    <row r="55" spans="1:7" ht="40">
      <c r="A55" s="305"/>
      <c r="B55" s="160">
        <v>6.22</v>
      </c>
      <c r="C55" s="149" t="s">
        <v>13097</v>
      </c>
      <c r="D55" s="275">
        <v>44692</v>
      </c>
      <c r="E55" s="169" t="s">
        <v>15330</v>
      </c>
      <c r="F55" s="169" t="s">
        <v>15322</v>
      </c>
      <c r="G55" s="25"/>
    </row>
    <row r="56" spans="1:7" ht="50">
      <c r="A56" s="305"/>
      <c r="B56" s="202">
        <v>6.3</v>
      </c>
      <c r="C56" s="149" t="s">
        <v>13097</v>
      </c>
      <c r="D56" s="275">
        <v>45051</v>
      </c>
      <c r="E56" s="169" t="s">
        <v>15590</v>
      </c>
      <c r="F56" s="169" t="s">
        <v>15371</v>
      </c>
      <c r="G56" s="25"/>
    </row>
    <row r="57" spans="1:7" ht="40">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5" customHeight="1">
      <c r="A59" s="305"/>
      <c r="B59" s="202">
        <v>6.5</v>
      </c>
      <c r="C59" s="149" t="s">
        <v>13097</v>
      </c>
      <c r="D59" s="275">
        <v>45772</v>
      </c>
      <c r="E59" s="169" t="s">
        <v>15669</v>
      </c>
      <c r="F59" s="169" t="s">
        <v>15720</v>
      </c>
      <c r="G59" s="25"/>
    </row>
    <row r="60" spans="1:7" ht="14" thickBot="1">
      <c r="A60" s="306"/>
      <c r="B60" s="307" t="str">
        <f ca="1">OFFSET(L!$C$1,MATCH("General"&amp;"Cpy",L!$A:$A,0)-1,SL,,)</f>
        <v>© 2025 Responsible Minerals Initiative. All rights reserved.</v>
      </c>
      <c r="C60" s="307"/>
      <c r="D60" s="307"/>
      <c r="E60" s="307"/>
      <c r="F60" s="307"/>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6"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PageLayoutView="70" workbookViewId="0">
      <selection activeCell="D9" sqref="D9:G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45797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15824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15825</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0" priority="168" stopIfTrue="1">
      <formula>IF($D$22="",TRUE)</formula>
    </cfRule>
  </conditionalFormatting>
  <conditionalFormatting sqref="D26:E26">
    <cfRule type="expression" dxfId="79" priority="146" stopIfTrue="1">
      <formula>IF($D$26="",TRUE)</formula>
    </cfRule>
  </conditionalFormatting>
  <conditionalFormatting sqref="D27:E27">
    <cfRule type="expression" dxfId="78" priority="153" stopIfTrue="1">
      <formula>IF($D$27="",TRUE)</formula>
    </cfRule>
  </conditionalFormatting>
  <conditionalFormatting sqref="D28:E28">
    <cfRule type="expression" dxfId="77" priority="154" stopIfTrue="1">
      <formula>IF($D$28="",TRUE)</formula>
    </cfRule>
  </conditionalFormatting>
  <conditionalFormatting sqref="D29:E29">
    <cfRule type="expression" dxfId="76" priority="155" stopIfTrue="1">
      <formula>IF($D$29="",TRUE)</formula>
    </cfRule>
  </conditionalFormatting>
  <conditionalFormatting sqref="D32:E32">
    <cfRule type="expression" dxfId="75" priority="64" stopIfTrue="1">
      <formula>IF(AND(OR($D$26="Yes",$D$26=""),$D$32=""),1,0)</formula>
    </cfRule>
    <cfRule type="expression" dxfId="74" priority="151" stopIfTrue="1">
      <formula>$P$26=""</formula>
    </cfRule>
  </conditionalFormatting>
  <conditionalFormatting sqref="D33:E33">
    <cfRule type="expression" dxfId="73" priority="52" stopIfTrue="1">
      <formula>$P$27=""</formula>
    </cfRule>
    <cfRule type="expression" dxfId="72" priority="51" stopIfTrue="1">
      <formula>IF(AND(OR($D$27="Yes",$D$27=""),$D$33=""),1,0)</formula>
    </cfRule>
  </conditionalFormatting>
  <conditionalFormatting sqref="D34:E34">
    <cfRule type="expression" dxfId="71" priority="10" stopIfTrue="1">
      <formula>IF(AND(OR($D$28="Yes",$D$28=""),$D$34=""),1,0)</formula>
    </cfRule>
    <cfRule type="expression" dxfId="70" priority="11" stopIfTrue="1">
      <formula>$P$28=""</formula>
    </cfRule>
  </conditionalFormatting>
  <conditionalFormatting sqref="D35:E35">
    <cfRule type="expression" dxfId="69" priority="48" stopIfTrue="1">
      <formula>IF(AND(OR($D$29="Yes",$D$29=""),$D$35=""),1,0)</formula>
    </cfRule>
    <cfRule type="expression" dxfId="68" priority="172" stopIfTrue="1">
      <formula>$P$29=""</formula>
    </cfRule>
  </conditionalFormatting>
  <conditionalFormatting sqref="D38:E38 D44:E44 D50:E50 D56:E56 D62:E62 D68:E68">
    <cfRule type="expression" dxfId="67" priority="27" stopIfTrue="1">
      <formula>$P$26=""</formula>
    </cfRule>
    <cfRule type="expression" dxfId="66" priority="28" stopIfTrue="1">
      <formula>$P$32=""</formula>
    </cfRule>
  </conditionalFormatting>
  <conditionalFormatting sqref="D38:E38">
    <cfRule type="expression" dxfId="65" priority="63" stopIfTrue="1">
      <formula>IF(AND(OR($D$26="Yes",$D$26=""),OR($D$32="Yes",$D$32=""),D38=""),1,0)</formula>
    </cfRule>
  </conditionalFormatting>
  <conditionalFormatting sqref="D39:E39 D45:E45 D51:E51 D57:E57 D63:E63 D69:E69">
    <cfRule type="expression" dxfId="64" priority="21" stopIfTrue="1">
      <formula>$P$33=""</formula>
    </cfRule>
    <cfRule type="expression" dxfId="63" priority="22" stopIfTrue="1">
      <formula>$P$39=""</formula>
    </cfRule>
  </conditionalFormatting>
  <conditionalFormatting sqref="D39:E39">
    <cfRule type="expression" dxfId="62" priority="59" stopIfTrue="1">
      <formula>IF(AND(OR($D$27="Yes",$D$27=""),OR($D$33="Yes",$D$33=""),D39=""),1,0)</formula>
    </cfRule>
  </conditionalFormatting>
  <conditionalFormatting sqref="D40:E40 D46:E46 D52:E52 D58:E58 D64:E64 D70:E70">
    <cfRule type="expression" dxfId="61" priority="16" stopIfTrue="1">
      <formula>$P$28=""</formula>
    </cfRule>
    <cfRule type="expression" dxfId="60" priority="17" stopIfTrue="1">
      <formula>$P$34=""</formula>
    </cfRule>
  </conditionalFormatting>
  <conditionalFormatting sqref="D40:E40">
    <cfRule type="expression" dxfId="59" priority="58" stopIfTrue="1">
      <formula>IF(AND(OR($D$28="Yes",$D$28=""),OR($D$34="Yes",$D$34=""),D40=""),1,0)</formula>
    </cfRule>
  </conditionalFormatting>
  <conditionalFormatting sqref="D41:E41 D47:E47 D53:E53 D59:E59 D65:E65 D71:E71">
    <cfRule type="expression" dxfId="58" priority="12" stopIfTrue="1">
      <formula>$P$29=""</formula>
    </cfRule>
    <cfRule type="expression" dxfId="57" priority="13" stopIfTrue="1">
      <formula>$P$35=""</formula>
    </cfRule>
  </conditionalFormatting>
  <conditionalFormatting sqref="D41:E41">
    <cfRule type="expression" dxfId="56" priority="174" stopIfTrue="1">
      <formula>IF(AND(OR($D$29="Yes",$D$29=""),OR($D$35="Yes",$D$35=""),D41=""),1,0)</formula>
    </cfRule>
  </conditionalFormatting>
  <conditionalFormatting sqref="D44:E44">
    <cfRule type="expression" dxfId="55" priority="62" stopIfTrue="1">
      <formula>IF(AND(OR($D$26="Yes",$D$26=""),OR($D$32="Yes",$D$32=""),D44=""),1,0)</formula>
    </cfRule>
  </conditionalFormatting>
  <conditionalFormatting sqref="D45:E45">
    <cfRule type="expression" dxfId="54" priority="24" stopIfTrue="1">
      <formula>IF(AND(OR($D$27="Yes",$D$27=""),OR($D$33="Yes",$D$33=""),D45=""),1,0)</formula>
    </cfRule>
  </conditionalFormatting>
  <conditionalFormatting sqref="D46:E46">
    <cfRule type="expression" dxfId="53" priority="49" stopIfTrue="1">
      <formula>IF(AND(OR($D$28="Yes",$D$28=""),OR($D$34="Yes",$D$34=""),D46=""),1,0)</formula>
    </cfRule>
  </conditionalFormatting>
  <conditionalFormatting sqref="D47:E47">
    <cfRule type="expression" dxfId="52" priority="57" stopIfTrue="1">
      <formula>IF(AND(OR($D$29="Yes",$D$29=""),OR($D$35="Yes",$D$35=""),D47=""),1,0)</formula>
    </cfRule>
  </conditionalFormatting>
  <conditionalFormatting sqref="D50:E50">
    <cfRule type="expression" dxfId="51" priority="30" stopIfTrue="1">
      <formula>IF(AND(OR($D$26="Yes",$D$26=""),OR($D$32="Yes",$D$32=""),D50=""),1,0)</formula>
    </cfRule>
  </conditionalFormatting>
  <conditionalFormatting sqref="D51:E51">
    <cfRule type="expression" dxfId="50" priority="169" stopIfTrue="1">
      <formula>IF(AND(OR($D$27="Yes",$D$27=""),OR($D$33="Yes",$D$33=""),D51=""),1,0)</formula>
    </cfRule>
  </conditionalFormatting>
  <conditionalFormatting sqref="D52:E52">
    <cfRule type="expression" dxfId="49" priority="20" stopIfTrue="1">
      <formula>IF(AND(OR($D$28="Yes",$D$28=""),OR($D$34="Yes",$D$34=""),D52=""),1,0)</formula>
    </cfRule>
  </conditionalFormatting>
  <conditionalFormatting sqref="D53:E53">
    <cfRule type="expression" dxfId="48" priority="43" stopIfTrue="1">
      <formula>IF(AND(OR($D$29="Yes",$D$29=""),OR($D$35="Yes",$D$35=""),D53=""),1,0)</formula>
    </cfRule>
  </conditionalFormatting>
  <conditionalFormatting sqref="D56:E56">
    <cfRule type="expression" dxfId="47" priority="38" stopIfTrue="1">
      <formula>IF(AND(OR($D$26="Yes",$D$26=""),OR($D$32="Yes",$D$32=""),D56=""),1,0)</formula>
    </cfRule>
  </conditionalFormatting>
  <conditionalFormatting sqref="D57:E57">
    <cfRule type="expression" dxfId="46" priority="26" stopIfTrue="1">
      <formula>IF(AND(OR($D$27="Yes",$D$27=""),OR($D$33="Yes",$D$33=""),D57=""),1,0)</formula>
    </cfRule>
  </conditionalFormatting>
  <conditionalFormatting sqref="D58:E58">
    <cfRule type="expression" dxfId="45" priority="19" stopIfTrue="1">
      <formula>IF(AND(OR($D$28="Yes",$D$28=""),OR($D$34="Yes",$D$34=""),D58=""),1,0)</formula>
    </cfRule>
  </conditionalFormatting>
  <conditionalFormatting sqref="D59:E59">
    <cfRule type="expression" dxfId="44" priority="15" stopIfTrue="1">
      <formula>IF(AND(OR($D$29="Yes",$D$29=""),OR($D$35="Yes",$D$35=""),D59=""),1,0)</formula>
    </cfRule>
  </conditionalFormatting>
  <conditionalFormatting sqref="D62:E62">
    <cfRule type="expression" dxfId="43" priority="37" stopIfTrue="1">
      <formula>IF(AND(OR($D$26="Yes",$D$26=""),OR($D$32="Yes",$D$32=""),D62=""),1,0)</formula>
    </cfRule>
  </conditionalFormatting>
  <conditionalFormatting sqref="D63:E63">
    <cfRule type="expression" dxfId="42" priority="23" stopIfTrue="1">
      <formula>IF(AND(OR($D$27="Yes",$D$27=""),OR($D$33="Yes",$D$33=""),D63=""),1,0)</formula>
    </cfRule>
  </conditionalFormatting>
  <conditionalFormatting sqref="D64:E64">
    <cfRule type="expression" dxfId="41" priority="18" stopIfTrue="1">
      <formula>IF(AND(OR($D$28="Yes",$D$28=""),OR($D$34="Yes",$D$34=""),D64=""),1,0)</formula>
    </cfRule>
  </conditionalFormatting>
  <conditionalFormatting sqref="D65:E65">
    <cfRule type="expression" dxfId="40" priority="14" stopIfTrue="1">
      <formula>IF(AND(OR($D$29="Yes",$D$29=""),OR($D$35="Yes",$D$35=""),D65=""),1,0)</formula>
    </cfRule>
  </conditionalFormatting>
  <conditionalFormatting sqref="D68:E68">
    <cfRule type="expression" dxfId="39" priority="29" stopIfTrue="1">
      <formula>IF(AND(OR($D$26="Yes",$D$26=""),OR($D$32="Yes",$D$32=""),D68=""),1,0)</formula>
    </cfRule>
  </conditionalFormatting>
  <conditionalFormatting sqref="D69:E69">
    <cfRule type="expression" dxfId="38" priority="25" stopIfTrue="1">
      <formula>IF(AND(OR($D$27="Yes",$D$27=""),OR($D$33="Yes",$D$33=""),D69=""),1,0)</formula>
    </cfRule>
  </conditionalFormatting>
  <conditionalFormatting sqref="D70:E70">
    <cfRule type="expression" dxfId="37" priority="171" stopIfTrue="1">
      <formula>IF(AND(OR($D$28="Yes",$D$28=""),OR($D$34="Yes",$D$34=""),D70=""),1,0)</formula>
    </cfRule>
  </conditionalFormatting>
  <conditionalFormatting sqref="D71:E71">
    <cfRule type="expression" dxfId="36" priority="173" stopIfTrue="1">
      <formula>IF(AND(OR($D$29="Yes",$D$29=""),OR($D$35="Yes",$D$35=""),D71=""),1,0)</formula>
    </cfRule>
  </conditionalFormatting>
  <conditionalFormatting sqref="D75:E75 D77:E77 D79:E79 D81:E81 D83 D85:E85 D87:E87 D89:E89">
    <cfRule type="expression" dxfId="35" priority="94" stopIfTrue="1">
      <formula>AND(OR($D$26="No",AND($D$26="Yes",$D$32="No")),OR($D$27="No",AND($D$27="Yes",$D$33="No")),OR($D$28="No",AND($D$28="Yes",$D$34="No")),OR($D$29="No",AND($D$29="Yes",$D$35="No")))</formula>
    </cfRule>
    <cfRule type="expression" dxfId="34" priority="95" stopIfTrue="1">
      <formula>IF(D75="",TRUE)</formula>
    </cfRule>
  </conditionalFormatting>
  <conditionalFormatting sqref="D9:G9">
    <cfRule type="expression" dxfId="33" priority="161" stopIfTrue="1">
      <formula>IF($D$9="",TRUE)</formula>
    </cfRule>
  </conditionalFormatting>
  <conditionalFormatting sqref="G85:J85">
    <cfRule type="expression" dxfId="32" priority="56" stopIfTrue="1">
      <formula>IF(AND($D$85="Yes, using other format (describe)",$G$85=""),TRUE)</formula>
    </cfRule>
  </conditionalFormatting>
  <conditionalFormatting sqref="D8:J8">
    <cfRule type="expression" dxfId="31" priority="9" stopIfTrue="1">
      <formula>IF($D$8="",TRUE)</formula>
    </cfRule>
  </conditionalFormatting>
  <conditionalFormatting sqref="D10:J10">
    <cfRule type="expression" dxfId="30" priority="7" stopIfTrue="1">
      <formula>IF($D$9=$Q$9,TRUE)</formula>
    </cfRule>
    <cfRule type="expression" dxfId="29" priority="8" stopIfTrue="1">
      <formula>IF(AND($D$10="",$D$9=$R$9),TRUE)</formula>
    </cfRule>
  </conditionalFormatting>
  <conditionalFormatting sqref="D15:J15">
    <cfRule type="expression" dxfId="28" priority="6" stopIfTrue="1">
      <formula>IF($D$15="",TRUE)</formula>
    </cfRule>
  </conditionalFormatting>
  <conditionalFormatting sqref="D16:J16">
    <cfRule type="expression" dxfId="27" priority="4" stopIfTrue="1">
      <formula>IF($D$16="",TRUE)</formula>
    </cfRule>
  </conditionalFormatting>
  <conditionalFormatting sqref="D17:J17">
    <cfRule type="expression" dxfId="26" priority="3" stopIfTrue="1">
      <formula>IF($D$17="",TRUE)</formula>
    </cfRule>
  </conditionalFormatting>
  <conditionalFormatting sqref="D18:J18">
    <cfRule type="expression" dxfId="25" priority="5" stopIfTrue="1">
      <formula>IF($D$18="",TRUE)</formula>
    </cfRule>
  </conditionalFormatting>
  <conditionalFormatting sqref="D20:J20">
    <cfRule type="expression" dxfId="24" priority="2" stopIfTrue="1">
      <formula>IF($D$20="",TRUE)</formula>
    </cfRule>
  </conditionalFormatting>
  <conditionalFormatting sqref="G77:J77">
    <cfRule type="expression" dxfId="23"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030546CA-A96B-4DA4-A581-C0CA08B90EA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6" zoomScaleNormal="100" zoomScalePageLayoutView="55" workbookViewId="0">
      <selection activeCell="A23" sqref="A23:XFD23"/>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62"/>
      <c r="B5" s="182" t="s">
        <v>1099</v>
      </c>
      <c r="C5" s="186" t="s">
        <v>15341</v>
      </c>
      <c r="D5" s="230"/>
      <c r="E5" s="182" t="str">
        <f ca="1">IF(ISERROR($V5),"",OFFSET('Smelter Look-up'!$D$4,$V5-4,0)&amp;"")</f>
        <v>BELGIUM</v>
      </c>
      <c r="F5" s="182" t="str">
        <f ca="1">IF(ISERROR($V5),"",OFFSET('Smelter Look-up'!$E$4,$V5-4,0))</f>
        <v>CID002773</v>
      </c>
      <c r="G5" s="182" t="str">
        <f ca="1">IF(C5=$X$4,IF(ISERROR($V5),"Enter smelter details","RMI"),IF(ISERROR($V5),"",OFFSET('Smelter Look-up'!$F$4,$V5-4,0)))</f>
        <v>RMI</v>
      </c>
      <c r="H5" s="183">
        <f ca="1">IF(ISERROR($V5),"",OFFSET('Smelter Look-up'!$G$4,$V5-4,0))</f>
        <v>0</v>
      </c>
      <c r="I5" s="184" t="str">
        <f ca="1">IF(ISERROR($V5),"",OFFSET('Smelter Look-up'!$H$4,$V5-4,0))</f>
        <v>Beerse</v>
      </c>
      <c r="J5" s="184" t="str">
        <f ca="1">IF(ISERROR($V5),"",OFFSET('Smelter Look-up'!$I$4,$V5-4,0))</f>
        <v>Antwerpen</v>
      </c>
      <c r="K5" s="224"/>
      <c r="L5" s="224"/>
      <c r="M5" s="224"/>
      <c r="N5" s="224"/>
      <c r="O5" s="224"/>
      <c r="P5" s="185"/>
      <c r="Q5" s="225"/>
      <c r="R5" s="182" t="str">
        <f ca="1">IF(ISERROR($V5),"",OFFSET('Smelter Look-up'!$C$4,$V5-4,0)&amp;"")</f>
        <v>Aurubis Beerse</v>
      </c>
      <c r="S5" s="181" t="str">
        <f ca="1">IF(B5="","",IF(ISERROR(MATCH($E5,CL,0)),"Unknown",INDIRECT("'C'!$A$"&amp;MATCH($E5,CL,0)+1)))</f>
        <v>BE</v>
      </c>
      <c r="T5" s="181" t="str">
        <f ca="1">IF(B5="","",IF(ISERROR(MATCH($J5,SorP!$B$1:$B$6226,0)),"",INDIRECT("'SorP'!$A$"&amp;MATCH($S5&amp;$J5,SorP!C:C,0))))</f>
        <v>BE-VAN</v>
      </c>
      <c r="U5" s="201"/>
      <c r="V5" s="226">
        <f>IF(C5="",NA(),IF(OR(C5="Smelter not listed",C5="Smelter not yet identified"),MATCH($B5&amp;$D5,'Smelter Look-up'!$J:$J,0),MATCH($B5&amp;$C5,'Smelter Look-up'!$J:$J,0)))</f>
        <v>404</v>
      </c>
      <c r="X5" s="227">
        <f t="shared" ref="X5" ca="1" si="0">IF(AND(C5="Smelter not listed",OR(LEN(D5)=0,LEN(E5)=0)),1,0)</f>
        <v>0</v>
      </c>
      <c r="AB5" s="228" t="str">
        <f t="shared" ref="AB5" si="1">B5&amp;C5</f>
        <v>TinAurubis Beerse</v>
      </c>
    </row>
    <row r="6" spans="1:34" s="227" customFormat="1" ht="20.149999999999999" customHeight="1">
      <c r="A6" s="262"/>
      <c r="B6" s="182" t="s">
        <v>1099</v>
      </c>
      <c r="C6" s="186" t="s">
        <v>814</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EM Vinto</v>
      </c>
      <c r="S6" s="181" t="str">
        <f t="shared" ref="S6:S37" ca="1" si="2">IF(B6="","",IF(ISERROR(MATCH($E6,CL,0)),"Unknown",INDIRECT("'C'!$A$"&amp;MATCH($E6,CL,0)+1)))</f>
        <v>BO</v>
      </c>
      <c r="T6" s="181" t="str">
        <f ca="1">IF(B6="","",IF(ISERROR(MATCH($J6,SorP!$B$1:$B$6226,0)),"",INDIRECT("'SorP'!$A$"&amp;MATCH($S6&amp;$J6,SorP!C:C,0))))</f>
        <v>BO-O</v>
      </c>
      <c r="U6" s="201"/>
      <c r="V6" s="226">
        <f>IF(C6="",NA(),IF(OR(C6="Smelter not listed",C6="Smelter not yet identified"),MATCH($B6&amp;$D6,'Smelter Look-up'!$J:$J,0),MATCH($B6&amp;$C6,'Smelter Look-up'!$J:$J,0)))</f>
        <v>428</v>
      </c>
      <c r="X6" s="227">
        <f t="shared" ref="X6:X37" ca="1" si="3">IF(AND(C6="Smelter not listed",OR(LEN(D6)=0,LEN(E6)=0)),1,0)</f>
        <v>0</v>
      </c>
      <c r="AB6" s="228" t="str">
        <f t="shared" ref="AB6:AB37" si="4">B6&amp;C6</f>
        <v>TinEM Vinto</v>
      </c>
    </row>
    <row r="7" spans="1:34" s="227" customFormat="1" ht="20.149999999999999" customHeight="1">
      <c r="A7" s="262"/>
      <c r="B7" s="182" t="s">
        <v>1099</v>
      </c>
      <c r="C7" s="186" t="s">
        <v>14960</v>
      </c>
      <c r="D7" s="230"/>
      <c r="E7" s="182" t="str">
        <f ca="1">IF(ISERROR($V7),"",OFFSET('Smelter Look-up'!$D$4,$V7-4,0)&amp;"")</f>
        <v>BRAZIL</v>
      </c>
      <c r="F7" s="182" t="str">
        <f ca="1">IF(ISERROR($V7),"",OFFSET('Smelter Look-up'!$E$4,$V7-4,0))</f>
        <v>CID003582</v>
      </c>
      <c r="G7" s="182" t="str">
        <f ca="1">IF(C7=$X$4,IF(ISERROR($V7),"Enter smelter details","RMI"),IF(ISERROR($V7),"",OFFSET('Smelter Look-up'!$F$4,$V7-4,0)))</f>
        <v>RMI</v>
      </c>
      <c r="H7" s="183">
        <f ca="1">IF(ISERROR($V7),"",OFFSET('Smelter Look-up'!$G$4,$V7-4,0))</f>
        <v>0</v>
      </c>
      <c r="I7" s="184" t="str">
        <f ca="1">IF(ISERROR($V7),"",OFFSET('Smelter Look-up'!$H$4,$V7-4,0))</f>
        <v>Mogi das Cruzes</v>
      </c>
      <c r="J7" s="184" t="str">
        <f ca="1">IF(ISERROR($V7),"",OFFSET('Smelter Look-up'!$I$4,$V7-4,0))</f>
        <v>São Paulo</v>
      </c>
      <c r="K7" s="224"/>
      <c r="L7" s="224"/>
      <c r="M7" s="224"/>
      <c r="N7" s="224"/>
      <c r="O7" s="224"/>
      <c r="P7" s="185"/>
      <c r="Q7" s="225"/>
      <c r="R7" s="182" t="str">
        <f ca="1">IF(ISERROR($V7),"",OFFSET('Smelter Look-up'!$C$4,$V7-4,0)&amp;"")</f>
        <v>Fabrica Auricchio Industria e Comercio Ltda.</v>
      </c>
      <c r="S7" s="181" t="str">
        <f t="shared" ca="1" si="2"/>
        <v>BR</v>
      </c>
      <c r="T7" s="181" t="str">
        <f ca="1">IF(B7="","",IF(ISERROR(MATCH($J7,SorP!$B$1:$B$6226,0)),"",INDIRECT("'SorP'!$A$"&amp;MATCH($S7&amp;$J7,SorP!C:C,0))))</f>
        <v>BR-SP</v>
      </c>
      <c r="U7" s="201"/>
      <c r="V7" s="226">
        <f>IF(C7="",NA(),IF(OR(C7="Smelter not listed",C7="Smelter not yet identified"),MATCH($B7&amp;$D7,'Smelter Look-up'!$J:$J,0),MATCH($B7&amp;$C7,'Smelter Look-up'!$J:$J,0)))</f>
        <v>436</v>
      </c>
      <c r="X7" s="227">
        <f t="shared" ca="1" si="3"/>
        <v>0</v>
      </c>
      <c r="AB7" s="228" t="str">
        <f t="shared" si="4"/>
        <v>TinFabrica Auricchio Industria e Comercio Ltda.</v>
      </c>
    </row>
    <row r="8" spans="1:34" s="227" customFormat="1" ht="20.149999999999999" customHeight="1">
      <c r="A8" s="262"/>
      <c r="B8" s="182" t="s">
        <v>1099</v>
      </c>
      <c r="C8" s="186" t="s">
        <v>788</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2"/>
        <v>PL</v>
      </c>
      <c r="T8" s="181" t="str">
        <f ca="1">IF(B8="","",IF(ISERROR(MATCH($J8,SorP!$B$1:$B$6226,0)),"",INDIRECT("'SorP'!$A$"&amp;MATCH($S8&amp;$J8,SorP!C:C,0))))</f>
        <v>PL-18</v>
      </c>
      <c r="U8" s="201"/>
      <c r="V8" s="226">
        <f>IF(C8="",NA(),IF(OR(C8="Smelter not listed",C8="Smelter not yet identified"),MATCH($B8&amp;$D8,'Smelter Look-up'!$J:$J,0),MATCH($B8&amp;$C8,'Smelter Look-up'!$J:$J,0)))</f>
        <v>437</v>
      </c>
      <c r="X8" s="227">
        <f t="shared" ca="1" si="3"/>
        <v>0</v>
      </c>
      <c r="AB8" s="228" t="str">
        <f t="shared" si="4"/>
        <v>TinFenix Metals</v>
      </c>
    </row>
    <row r="9" spans="1:34" s="227" customFormat="1" ht="20.149999999999999" customHeight="1">
      <c r="A9" s="262"/>
      <c r="B9" s="182" t="s">
        <v>1099</v>
      </c>
      <c r="C9" s="186" t="s">
        <v>1731</v>
      </c>
      <c r="D9" s="230"/>
      <c r="E9" s="182" t="str">
        <f ca="1">IF(ISERROR($V9),"",OFFSET('Smelter Look-up'!$D$4,$V9-4,0)&amp;"")</f>
        <v>CHINA</v>
      </c>
      <c r="F9" s="182" t="str">
        <f ca="1">IF(ISERROR($V9),"",OFFSET('Smelter Look-up'!$E$4,$V9-4,0))</f>
        <v>CID000555</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4"/>
      <c r="L9" s="224"/>
      <c r="M9" s="224"/>
      <c r="N9" s="224"/>
      <c r="O9" s="224"/>
      <c r="P9" s="185"/>
      <c r="Q9" s="225"/>
      <c r="R9" s="182" t="str">
        <f ca="1">IF(ISERROR($V9),"",OFFSET('Smelter Look-up'!$C$4,$V9-4,0)&amp;"")</f>
        <v>Gejiu Zili Mining And Metallurgy Co., Ltd.</v>
      </c>
      <c r="S9" s="181" t="str">
        <f t="shared" ca="1" si="2"/>
        <v>CN</v>
      </c>
      <c r="T9" s="181" t="str">
        <f ca="1">IF(B9="","",IF(ISERROR(MATCH($J9,SorP!$B$1:$B$6226,0)),"",INDIRECT("'SorP'!$A$"&amp;MATCH($S9&amp;$J9,SorP!C:C,0))))</f>
        <v>CN-YN</v>
      </c>
      <c r="U9" s="201"/>
      <c r="V9" s="226">
        <f>IF(C9="",NA(),IF(OR(C9="Smelter not listed",C9="Smelter not yet identified"),MATCH($B9&amp;$D9,'Smelter Look-up'!$J:$J,0),MATCH($B9&amp;$C9,'Smelter Look-up'!$J:$J,0)))</f>
        <v>446</v>
      </c>
      <c r="X9" s="227">
        <f t="shared" ca="1" si="3"/>
        <v>0</v>
      </c>
      <c r="AB9" s="228" t="str">
        <f t="shared" si="4"/>
        <v>TinGejiu Zili Mining And Metallurgy Co., Ltd.</v>
      </c>
    </row>
    <row r="10" spans="1:34" s="227" customFormat="1" ht="20.149999999999999" customHeight="1">
      <c r="A10" s="262"/>
      <c r="B10" s="182" t="s">
        <v>1099</v>
      </c>
      <c r="C10" s="186" t="s">
        <v>793</v>
      </c>
      <c r="D10" s="230"/>
      <c r="E10" s="182" t="str">
        <f ca="1">IF(ISERROR($V10),"",OFFSET('Smelter Look-up'!$D$4,$V10-4,0)&amp;"")</f>
        <v>MALAYSIA</v>
      </c>
      <c r="F10" s="182" t="str">
        <f ca="1">IF(ISERROR($V10),"",OFFSET('Smelter Look-up'!$E$4,$V10-4,0))</f>
        <v>CID001105</v>
      </c>
      <c r="G10" s="182" t="str">
        <f ca="1">IF(C10=$X$4,IF(ISERROR($V10),"Enter smelter details","RMI"),IF(ISERROR($V10),"",OFFSET('Smelter Look-up'!$F$4,$V10-4,0)))</f>
        <v>RMI</v>
      </c>
      <c r="H10" s="183">
        <f ca="1">IF(ISERROR($V10),"",OFFSET('Smelter Look-up'!$G$4,$V10-4,0))</f>
        <v>0</v>
      </c>
      <c r="I10" s="184" t="str">
        <f ca="1">IF(ISERROR($V10),"",OFFSET('Smelter Look-up'!$H$4,$V10-4,0))</f>
        <v>Butterworth</v>
      </c>
      <c r="J10" s="184" t="str">
        <f ca="1">IF(ISERROR($V10),"",OFFSET('Smelter Look-up'!$I$4,$V10-4,0))</f>
        <v>Pulau Pinang</v>
      </c>
      <c r="K10" s="224"/>
      <c r="L10" s="224"/>
      <c r="M10" s="224"/>
      <c r="N10" s="224"/>
      <c r="O10" s="224"/>
      <c r="P10" s="185"/>
      <c r="Q10" s="225"/>
      <c r="R10" s="182" t="str">
        <f ca="1">IF(ISERROR($V10),"",OFFSET('Smelter Look-up'!$C$4,$V10-4,0)&amp;"")</f>
        <v>Malaysia Smelting Corporation (MSC)</v>
      </c>
      <c r="S10" s="181" t="str">
        <f t="shared" ca="1" si="2"/>
        <v>MY</v>
      </c>
      <c r="T10" s="181" t="str">
        <f ca="1">IF(B10="","",IF(ISERROR(MATCH($J10,SorP!$B$1:$B$6226,0)),"",INDIRECT("'SorP'!$A$"&amp;MATCH($S10&amp;$J10,SorP!C:C,0))))</f>
        <v>MY-07</v>
      </c>
      <c r="U10" s="201"/>
      <c r="V10" s="226">
        <f>IF(C10="",NA(),IF(OR(C10="Smelter not listed",C10="Smelter not yet identified"),MATCH($B10&amp;$D10,'Smelter Look-up'!$J:$J,0),MATCH($B10&amp;$C10,'Smelter Look-up'!$J:$J,0)))</f>
        <v>468</v>
      </c>
      <c r="X10" s="227">
        <f t="shared" ca="1" si="3"/>
        <v>0</v>
      </c>
      <c r="AB10" s="228" t="str">
        <f t="shared" si="4"/>
        <v>TinMalaysia Smelting Corporation (MSC)</v>
      </c>
    </row>
    <row r="11" spans="1:34" s="227" customFormat="1" ht="20.149999999999999" customHeight="1">
      <c r="A11" s="262"/>
      <c r="B11" s="182" t="s">
        <v>1099</v>
      </c>
      <c r="C11" s="186" t="s">
        <v>15634</v>
      </c>
      <c r="D11" s="230"/>
      <c r="E11" s="182" t="str">
        <f ca="1">IF(ISERROR($V11),"",OFFSET('Smelter Look-up'!$D$4,$V11-4,0)&amp;"")</f>
        <v>MALAYSIA</v>
      </c>
      <c r="F11" s="182" t="str">
        <f ca="1">IF(ISERROR($V11),"",OFFSET('Smelter Look-up'!$E$4,$V11-4,0))</f>
        <v>CID004434</v>
      </c>
      <c r="G11" s="182" t="str">
        <f ca="1">IF(C11=$X$4,IF(ISERROR($V11),"Enter smelter details","RMI"),IF(ISERROR($V11),"",OFFSET('Smelter Look-up'!$F$4,$V11-4,0)))</f>
        <v>RMI</v>
      </c>
      <c r="H11" s="183">
        <f ca="1">IF(ISERROR($V11),"",OFFSET('Smelter Look-up'!$G$4,$V11-4,0))</f>
        <v>0</v>
      </c>
      <c r="I11" s="184" t="str">
        <f ca="1">IF(ISERROR($V11),"",OFFSET('Smelter Look-up'!$H$4,$V11-4,0))</f>
        <v>Port Klang</v>
      </c>
      <c r="J11" s="184" t="str">
        <f ca="1">IF(ISERROR($V11),"",OFFSET('Smelter Look-up'!$I$4,$V11-4,0))</f>
        <v>Selangor</v>
      </c>
      <c r="K11" s="224"/>
      <c r="L11" s="224"/>
      <c r="M11" s="224"/>
      <c r="N11" s="224"/>
      <c r="O11" s="224"/>
      <c r="P11" s="185"/>
      <c r="Q11" s="225"/>
      <c r="R11" s="182" t="str">
        <f ca="1">IF(ISERROR($V11),"",OFFSET('Smelter Look-up'!$C$4,$V11-4,0)&amp;"")</f>
        <v>Malaysia Smelting Corporation Berhad (Port Klang)</v>
      </c>
      <c r="S11" s="181" t="str">
        <f t="shared" ca="1" si="2"/>
        <v>MY</v>
      </c>
      <c r="T11" s="181" t="str">
        <f ca="1">IF(B11="","",IF(ISERROR(MATCH($J11,SorP!$B$1:$B$6226,0)),"",INDIRECT("'SorP'!$A$"&amp;MATCH($S11&amp;$J11,SorP!C:C,0))))</f>
        <v>MY-10</v>
      </c>
      <c r="U11" s="201"/>
      <c r="V11" s="226">
        <f>IF(C11="",NA(),IF(OR(C11="Smelter not listed",C11="Smelter not yet identified"),MATCH($B11&amp;$D11,'Smelter Look-up'!$J:$J,0),MATCH($B11&amp;$C11,'Smelter Look-up'!$J:$J,0)))</f>
        <v>469</v>
      </c>
      <c r="X11" s="227">
        <f t="shared" ca="1" si="3"/>
        <v>0</v>
      </c>
      <c r="AB11" s="228" t="str">
        <f t="shared" si="4"/>
        <v>TinMalaysia Smelting Corporation Berhad (Port Klang)</v>
      </c>
    </row>
    <row r="12" spans="1:34" s="227" customFormat="1" ht="20.149999999999999" customHeight="1">
      <c r="A12" s="262"/>
      <c r="B12" s="182" t="s">
        <v>1099</v>
      </c>
      <c r="C12" s="186" t="s">
        <v>1002</v>
      </c>
      <c r="D12" s="230"/>
      <c r="E12" s="182" t="str">
        <f ca="1">IF(ISERROR($V12),"",OFFSET('Smelter Look-up'!$D$4,$V12-4,0)&amp;"")</f>
        <v>BRAZIL</v>
      </c>
      <c r="F12" s="182" t="str">
        <f ca="1">IF(ISERROR($V12),"",OFFSET('Smelter Look-up'!$E$4,$V12-4,0))</f>
        <v>CID001173</v>
      </c>
      <c r="G12" s="182" t="str">
        <f ca="1">IF(C12=$X$4,IF(ISERROR($V12),"Enter smelter details","RMI"),IF(ISERROR($V12),"",OFFSET('Smelter Look-up'!$F$4,$V12-4,0)))</f>
        <v>RMI</v>
      </c>
      <c r="H12" s="183">
        <f ca="1">IF(ISERROR($V12),"",OFFSET('Smelter Look-up'!$G$4,$V12-4,0))</f>
        <v>0</v>
      </c>
      <c r="I12" s="184" t="str">
        <f ca="1">IF(ISERROR($V12),"",OFFSET('Smelter Look-up'!$H$4,$V12-4,0))</f>
        <v>Pirapora de Bom Jesus</v>
      </c>
      <c r="J12" s="184" t="str">
        <f ca="1">IF(ISERROR($V12),"",OFFSET('Smelter Look-up'!$I$4,$V12-4,0))</f>
        <v>São Paulo</v>
      </c>
      <c r="K12" s="224"/>
      <c r="L12" s="224"/>
      <c r="M12" s="224"/>
      <c r="N12" s="224"/>
      <c r="O12" s="224"/>
      <c r="P12" s="185"/>
      <c r="Q12" s="225"/>
      <c r="R12" s="182" t="str">
        <f ca="1">IF(ISERROR($V12),"",OFFSET('Smelter Look-up'!$C$4,$V12-4,0)&amp;"")</f>
        <v>Mineracao Taboca S.A.</v>
      </c>
      <c r="S12" s="181" t="str">
        <f t="shared" ca="1" si="2"/>
        <v>BR</v>
      </c>
      <c r="T12" s="181" t="str">
        <f ca="1">IF(B12="","",IF(ISERROR(MATCH($J12,SorP!$B$1:$B$6226,0)),"",INDIRECT("'SorP'!$A$"&amp;MATCH($S12&amp;$J12,SorP!C:C,0))))</f>
        <v>BR-SP</v>
      </c>
      <c r="U12" s="201"/>
      <c r="V12" s="226">
        <f>IF(C12="",NA(),IF(OR(C12="Smelter not listed",C12="Smelter not yet identified"),MATCH($B12&amp;$D12,'Smelter Look-up'!$J:$J,0),MATCH($B12&amp;$C12,'Smelter Look-up'!$J:$J,0)))</f>
        <v>477</v>
      </c>
      <c r="X12" s="227">
        <f t="shared" ca="1" si="3"/>
        <v>0</v>
      </c>
      <c r="AB12" s="228" t="str">
        <f t="shared" si="4"/>
        <v>TinMineração Taboca S.A.</v>
      </c>
    </row>
    <row r="13" spans="1:34" s="227" customFormat="1" ht="20.149999999999999" customHeight="1">
      <c r="A13" s="262"/>
      <c r="B13" s="182" t="s">
        <v>1099</v>
      </c>
      <c r="C13" s="186" t="s">
        <v>1003</v>
      </c>
      <c r="D13" s="230"/>
      <c r="E13" s="182" t="str">
        <f ca="1">IF(ISERROR($V13),"",OFFSET('Smelter Look-up'!$D$4,$V13-4,0)&amp;"")</f>
        <v>PERU</v>
      </c>
      <c r="F13" s="182" t="str">
        <f ca="1">IF(ISERROR($V13),"",OFFSET('Smelter Look-up'!$E$4,$V13-4,0))</f>
        <v>CID001182</v>
      </c>
      <c r="G13" s="182" t="str">
        <f ca="1">IF(C13=$X$4,IF(ISERROR($V13),"Enter smelter details","RMI"),IF(ISERROR($V13),"",OFFSET('Smelter Look-up'!$F$4,$V13-4,0)))</f>
        <v>RMI</v>
      </c>
      <c r="H13" s="183">
        <f ca="1">IF(ISERROR($V13),"",OFFSET('Smelter Look-up'!$G$4,$V13-4,0))</f>
        <v>0</v>
      </c>
      <c r="I13" s="184" t="str">
        <f ca="1">IF(ISERROR($V13),"",OFFSET('Smelter Look-up'!$H$4,$V13-4,0))</f>
        <v>Paracas</v>
      </c>
      <c r="J13" s="184" t="str">
        <f ca="1">IF(ISERROR($V13),"",OFFSET('Smelter Look-up'!$I$4,$V13-4,0))</f>
        <v>Ika</v>
      </c>
      <c r="K13" s="224"/>
      <c r="L13" s="224"/>
      <c r="M13" s="224"/>
      <c r="N13" s="224"/>
      <c r="O13" s="224"/>
      <c r="P13" s="185"/>
      <c r="Q13" s="225"/>
      <c r="R13" s="182" t="str">
        <f ca="1">IF(ISERROR($V13),"",OFFSET('Smelter Look-up'!$C$4,$V13-4,0)&amp;"")</f>
        <v>Minsur</v>
      </c>
      <c r="S13" s="181" t="str">
        <f t="shared" ca="1" si="2"/>
        <v>PE</v>
      </c>
      <c r="T13" s="181" t="str">
        <f ca="1">IF(B13="","",IF(ISERROR(MATCH($J13,SorP!$B$1:$B$6226,0)),"",INDIRECT("'SorP'!$A$"&amp;MATCH($S13&amp;$J13,SorP!C:C,0))))</f>
        <v>PE-ICA</v>
      </c>
      <c r="U13" s="201"/>
      <c r="V13" s="226">
        <f>IF(C13="",NA(),IF(OR(C13="Smelter not listed",C13="Smelter not yet identified"),MATCH($B13&amp;$D13,'Smelter Look-up'!$J:$J,0),MATCH($B13&amp;$C13,'Smelter Look-up'!$J:$J,0)))</f>
        <v>481</v>
      </c>
      <c r="X13" s="227">
        <f t="shared" ca="1" si="3"/>
        <v>0</v>
      </c>
      <c r="AB13" s="228" t="str">
        <f t="shared" si="4"/>
        <v>TinMinsur</v>
      </c>
    </row>
    <row r="14" spans="1:34" s="227" customFormat="1" ht="20.149999999999999" customHeight="1">
      <c r="A14" s="262"/>
      <c r="B14" s="182" t="s">
        <v>1099</v>
      </c>
      <c r="C14" s="186" t="s">
        <v>1131</v>
      </c>
      <c r="D14" s="230"/>
      <c r="E14" s="182" t="str">
        <f ca="1">IF(ISERROR($V14),"",OFFSET('Smelter Look-up'!$D$4,$V14-4,0)&amp;"")</f>
        <v>JAPAN</v>
      </c>
      <c r="F14" s="182" t="str">
        <f ca="1">IF(ISERROR($V14),"",OFFSET('Smelter Look-up'!$E$4,$V14-4,0))</f>
        <v>CID001191</v>
      </c>
      <c r="G14" s="182" t="str">
        <f ca="1">IF(C14=$X$4,IF(ISERROR($V14),"Enter smelter details","RMI"),IF(ISERROR($V14),"",OFFSET('Smelter Look-up'!$F$4,$V14-4,0)))</f>
        <v>RMI</v>
      </c>
      <c r="H14" s="183">
        <f ca="1">IF(ISERROR($V14),"",OFFSET('Smelter Look-up'!$G$4,$V14-4,0))</f>
        <v>0</v>
      </c>
      <c r="I14" s="184" t="str">
        <f ca="1">IF(ISERROR($V14),"",OFFSET('Smelter Look-up'!$H$4,$V14-4,0))</f>
        <v>Asago</v>
      </c>
      <c r="J14" s="184" t="str">
        <f ca="1">IF(ISERROR($V14),"",OFFSET('Smelter Look-up'!$I$4,$V14-4,0))</f>
        <v>Hyôgo</v>
      </c>
      <c r="K14" s="224"/>
      <c r="L14" s="224"/>
      <c r="M14" s="224"/>
      <c r="N14" s="224"/>
      <c r="O14" s="224"/>
      <c r="P14" s="185"/>
      <c r="Q14" s="225"/>
      <c r="R14" s="182" t="str">
        <f ca="1">IF(ISERROR($V14),"",OFFSET('Smelter Look-up'!$C$4,$V14-4,0)&amp;"")</f>
        <v>Mitsubishi Materials Corporation</v>
      </c>
      <c r="S14" s="181" t="str">
        <f t="shared" ca="1" si="2"/>
        <v>JP</v>
      </c>
      <c r="T14" s="181" t="str">
        <f ca="1">IF(B14="","",IF(ISERROR(MATCH($J14,SorP!$B$1:$B$6226,0)),"",INDIRECT("'SorP'!$A$"&amp;MATCH($S14&amp;$J14,SorP!C:C,0))))</f>
        <v>JP-28</v>
      </c>
      <c r="U14" s="201"/>
      <c r="V14" s="226">
        <f>IF(C14="",NA(),IF(OR(C14="Smelter not listed",C14="Smelter not yet identified"),MATCH($B14&amp;$D14,'Smelter Look-up'!$J:$J,0),MATCH($B14&amp;$C14,'Smelter Look-up'!$J:$J,0)))</f>
        <v>482</v>
      </c>
      <c r="X14" s="227">
        <f t="shared" ca="1" si="3"/>
        <v>0</v>
      </c>
      <c r="AB14" s="228" t="str">
        <f t="shared" si="4"/>
        <v>TinMitsubishi Materials Corporation</v>
      </c>
    </row>
    <row r="15" spans="1:34" s="227" customFormat="1" ht="20.149999999999999" customHeight="1">
      <c r="A15" s="262"/>
      <c r="B15" s="182" t="s">
        <v>1099</v>
      </c>
      <c r="C15" s="186" t="s">
        <v>13716</v>
      </c>
      <c r="D15" s="230"/>
      <c r="E15" s="182" t="str">
        <f ca="1">IF(ISERROR($V15),"",OFFSET('Smelter Look-up'!$D$4,$V15-4,0)&amp;"")</f>
        <v>BOLIVIA (PLURINATIONAL STATE OF)</v>
      </c>
      <c r="F15" s="182" t="str">
        <f ca="1">IF(ISERROR($V15),"",OFFSET('Smelter Look-up'!$E$4,$V15-4,0))</f>
        <v>CID001337</v>
      </c>
      <c r="G15" s="182" t="str">
        <f ca="1">IF(C15=$X$4,IF(ISERROR($V15),"Enter smelter details","RMI"),IF(ISERROR($V15),"",OFFSET('Smelter Look-up'!$F$4,$V15-4,0)))</f>
        <v>RMI</v>
      </c>
      <c r="H15" s="183">
        <f ca="1">IF(ISERROR($V15),"",OFFSET('Smelter Look-up'!$G$4,$V15-4,0))</f>
        <v>0</v>
      </c>
      <c r="I15" s="184" t="str">
        <f ca="1">IF(ISERROR($V15),"",OFFSET('Smelter Look-up'!$H$4,$V15-4,0))</f>
        <v>Oruro</v>
      </c>
      <c r="J15" s="184" t="str">
        <f ca="1">IF(ISERROR($V15),"",OFFSET('Smelter Look-up'!$I$4,$V15-4,0))</f>
        <v>Oruro</v>
      </c>
      <c r="K15" s="224"/>
      <c r="L15" s="224"/>
      <c r="M15" s="224"/>
      <c r="N15" s="224"/>
      <c r="O15" s="224"/>
      <c r="P15" s="185"/>
      <c r="Q15" s="225"/>
      <c r="R15" s="182" t="str">
        <f ca="1">IF(ISERROR($V15),"",OFFSET('Smelter Look-up'!$C$4,$V15-4,0)&amp;"")</f>
        <v>Operaciones Metalurgicas S.A.</v>
      </c>
      <c r="S15" s="181" t="str">
        <f t="shared" ca="1" si="2"/>
        <v>BO</v>
      </c>
      <c r="T15" s="181" t="str">
        <f ca="1">IF(B15="","",IF(ISERROR(MATCH($J15,SorP!$B$1:$B$6226,0)),"",INDIRECT("'SorP'!$A$"&amp;MATCH($S15&amp;$J15,SorP!C:C,0))))</f>
        <v>BO-O</v>
      </c>
      <c r="U15" s="201"/>
      <c r="V15" s="226">
        <f>IF(C15="",NA(),IF(OR(C15="Smelter not listed",C15="Smelter not yet identified"),MATCH($B15&amp;$D15,'Smelter Look-up'!$J:$J,0),MATCH($B15&amp;$C15,'Smelter Look-up'!$J:$J,0)))</f>
        <v>494</v>
      </c>
      <c r="X15" s="227">
        <f t="shared" ca="1" si="3"/>
        <v>0</v>
      </c>
      <c r="AB15" s="228" t="str">
        <f t="shared" si="4"/>
        <v>TinOperaciones Metalúrgicas S.A.</v>
      </c>
    </row>
    <row r="16" spans="1:34" s="227" customFormat="1" ht="20.149999999999999" customHeight="1">
      <c r="A16" s="262"/>
      <c r="B16" s="182" t="s">
        <v>1099</v>
      </c>
      <c r="C16" s="186" t="s">
        <v>1367</v>
      </c>
      <c r="D16" s="230"/>
      <c r="E16" s="182" t="str">
        <f ca="1">IF(ISERROR($V16),"",OFFSET('Smelter Look-up'!$D$4,$V16-4,0)&amp;"")</f>
        <v>INDONESIA</v>
      </c>
      <c r="F16" s="182" t="str">
        <f ca="1">IF(ISERROR($V16),"",OFFSET('Smelter Look-up'!$E$4,$V16-4,0))</f>
        <v>CID002503</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ATD Makmur Mandiri Jaya</v>
      </c>
      <c r="S16" s="181" t="str">
        <f t="shared" ca="1" si="2"/>
        <v>ID</v>
      </c>
      <c r="T16" s="181" t="str">
        <f ca="1">IF(B16="","",IF(ISERROR(MATCH($J16,SorP!$B$1:$B$6226,0)),"",INDIRECT("'SorP'!$A$"&amp;MATCH($S16&amp;$J16,SorP!C:C,0))))</f>
        <v>ID-BB</v>
      </c>
      <c r="U16" s="201"/>
      <c r="V16" s="226">
        <f>IF(C16="",NA(),IF(OR(C16="Smelter not listed",C16="Smelter not yet identified"),MATCH($B16&amp;$D16,'Smelter Look-up'!$J:$J,0),MATCH($B16&amp;$C16,'Smelter Look-up'!$J:$J,0)))</f>
        <v>499</v>
      </c>
      <c r="X16" s="227">
        <f t="shared" ca="1" si="3"/>
        <v>0</v>
      </c>
      <c r="AB16" s="228" t="str">
        <f t="shared" si="4"/>
        <v>TinPT ATD Makmur Mandiri Jaya</v>
      </c>
    </row>
    <row r="17" spans="1:28" s="227" customFormat="1" ht="20.149999999999999" customHeight="1">
      <c r="A17" s="262"/>
      <c r="B17" s="182" t="s">
        <v>1099</v>
      </c>
      <c r="C17" s="186" t="s">
        <v>610</v>
      </c>
      <c r="D17" s="230"/>
      <c r="E17" s="182" t="str">
        <f ca="1">IF(ISERROR($V17),"",OFFSET('Smelter Look-up'!$D$4,$V17-4,0)&amp;"")</f>
        <v>INDONESIA</v>
      </c>
      <c r="F17" s="182" t="str">
        <f ca="1">IF(ISERROR($V17),"",OFFSET('Smelter Look-up'!$E$4,$V17-4,0))</f>
        <v>CID001453</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Mitra Stania Prima</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502</v>
      </c>
      <c r="X17" s="227">
        <f t="shared" ca="1" si="3"/>
        <v>0</v>
      </c>
      <c r="AB17" s="228" t="str">
        <f t="shared" si="4"/>
        <v>TinPT Mitra Stania Prima</v>
      </c>
    </row>
    <row r="18" spans="1:28" s="227" customFormat="1" ht="20.149999999999999" customHeight="1">
      <c r="A18" s="181"/>
      <c r="B18" s="182" t="s">
        <v>1099</v>
      </c>
      <c r="C18" s="186" t="s">
        <v>13714</v>
      </c>
      <c r="D18" s="230"/>
      <c r="E18" s="182" t="str">
        <f ca="1">IF(ISERROR($V18),"",OFFSET('Smelter Look-up'!$D$4,$V18-4,0)&amp;"")</f>
        <v>INDONESIA</v>
      </c>
      <c r="F18" s="182" t="str">
        <f ca="1">IF(ISERROR($V18),"",OFFSET('Smelter Look-up'!$E$4,$V18-4,0))</f>
        <v>CID001477</v>
      </c>
      <c r="G18" s="182" t="str">
        <f ca="1">IF(C18=$X$4,IF(ISERROR($V18),"Enter smelter details","RMI"),IF(ISERROR($V18),"",OFFSET('Smelter Look-up'!$F$4,$V18-4,0)))</f>
        <v>RMI</v>
      </c>
      <c r="H18" s="183">
        <f ca="1">IF(ISERROR($V18),"",OFFSET('Smelter Look-up'!$G$4,$V18-4,0))</f>
        <v>0</v>
      </c>
      <c r="I18" s="184" t="str">
        <f ca="1">IF(ISERROR($V18),"",OFFSET('Smelter Look-up'!$H$4,$V18-4,0))</f>
        <v>Kundur</v>
      </c>
      <c r="J18" s="184" t="str">
        <f ca="1">IF(ISERROR($V18),"",OFFSET('Smelter Look-up'!$I$4,$V18-4,0))</f>
        <v>Riau</v>
      </c>
      <c r="K18" s="224"/>
      <c r="L18" s="224"/>
      <c r="M18" s="224"/>
      <c r="N18" s="224"/>
      <c r="O18" s="224"/>
      <c r="P18" s="185"/>
      <c r="Q18" s="225"/>
      <c r="R18" s="182" t="str">
        <f ca="1">IF(ISERROR($V18),"",OFFSET('Smelter Look-up'!$C$4,$V18-4,0)&amp;"")</f>
        <v>PT Timah Tbk Kundur</v>
      </c>
      <c r="S18" s="181" t="str">
        <f t="shared" ca="1" si="2"/>
        <v>ID</v>
      </c>
      <c r="T18" s="181" t="str">
        <f ca="1">IF(B18="","",IF(ISERROR(MATCH($J18,SorP!$B$1:$B$6226,0)),"",INDIRECT("'SorP'!$A$"&amp;MATCH($S18&amp;$J18,SorP!C:C,0))))</f>
        <v>ID-RI</v>
      </c>
      <c r="U18" s="201"/>
      <c r="V18" s="226">
        <f>IF(C18="",NA(),IF(OR(C18="Smelter not listed",C18="Smelter not yet identified"),MATCH($B18&amp;$D18,'Smelter Look-up'!$J:$J,0),MATCH($B18&amp;$C18,'Smelter Look-up'!$J:$J,0)))</f>
        <v>509</v>
      </c>
      <c r="X18" s="227">
        <f t="shared" ca="1" si="3"/>
        <v>0</v>
      </c>
      <c r="AB18" s="228" t="str">
        <f t="shared" si="4"/>
        <v>TinPT Timah Tbk Kundur</v>
      </c>
    </row>
    <row r="19" spans="1:28" s="227" customFormat="1" ht="54">
      <c r="A19" s="181"/>
      <c r="B19" s="182" t="s">
        <v>1099</v>
      </c>
      <c r="C19" s="186" t="s">
        <v>13713</v>
      </c>
      <c r="D19" s="230"/>
      <c r="E19" s="182" t="str">
        <f ca="1">IF(ISERROR($V19),"",OFFSET('Smelter Look-up'!$D$4,$V19-4,0)&amp;"")</f>
        <v>INDONESIA</v>
      </c>
      <c r="F19" s="182" t="str">
        <f ca="1">IF(ISERROR($V19),"",OFFSET('Smelter Look-up'!$E$4,$V19-4,0))</f>
        <v>CID001482</v>
      </c>
      <c r="G19" s="182" t="str">
        <f ca="1">IF(C19=$X$4,IF(ISERROR($V19),"Enter smelter details","RMI"),IF(ISERROR($V19),"",OFFSET('Smelter Look-up'!$F$4,$V19-4,0)))</f>
        <v>RMI</v>
      </c>
      <c r="H19" s="183">
        <f ca="1">IF(ISERROR($V19),"",OFFSET('Smelter Look-up'!$G$4,$V19-4,0))</f>
        <v>0</v>
      </c>
      <c r="I19" s="184" t="str">
        <f ca="1">IF(ISERROR($V19),"",OFFSET('Smelter Look-up'!$H$4,$V19-4,0))</f>
        <v>Mentok</v>
      </c>
      <c r="J19" s="184" t="str">
        <f ca="1">IF(ISERROR($V19),"",OFFSET('Smelter Look-up'!$I$4,$V19-4,0))</f>
        <v>Kepulauan Bangka Belitung</v>
      </c>
      <c r="K19" s="224"/>
      <c r="L19" s="224"/>
      <c r="M19" s="224"/>
      <c r="N19" s="224"/>
      <c r="O19" s="224"/>
      <c r="P19" s="185"/>
      <c r="Q19" s="225"/>
      <c r="R19" s="182" t="str">
        <f ca="1">IF(ISERROR($V19),"",OFFSET('Smelter Look-up'!$C$4,$V19-4,0)&amp;"")</f>
        <v>PT Timah Tbk Mentok</v>
      </c>
      <c r="S19" s="181" t="str">
        <f t="shared" ca="1" si="2"/>
        <v>ID</v>
      </c>
      <c r="T19" s="181" t="str">
        <f ca="1">IF(B19="","",IF(ISERROR(MATCH($J19,SorP!$B$1:$B$6226,0)),"",INDIRECT("'SorP'!$A$"&amp;MATCH($S19&amp;$J19,SorP!C:C,0))))</f>
        <v>ID-BB</v>
      </c>
      <c r="U19" s="201"/>
      <c r="V19" s="226">
        <f>IF(C19="",NA(),IF(OR(C19="Smelter not listed",C19="Smelter not yet identified"),MATCH($B19&amp;$D19,'Smelter Look-up'!$J:$J,0),MATCH($B19&amp;$C19,'Smelter Look-up'!$J:$J,0)))</f>
        <v>510</v>
      </c>
      <c r="X19" s="227">
        <f t="shared" ca="1" si="3"/>
        <v>0</v>
      </c>
      <c r="AB19" s="228" t="str">
        <f t="shared" si="4"/>
        <v>TinPT Timah Tbk Mentok</v>
      </c>
    </row>
    <row r="20" spans="1:28" s="227" customFormat="1" ht="27">
      <c r="A20" s="181"/>
      <c r="B20" s="182" t="s">
        <v>1099</v>
      </c>
      <c r="C20" s="186" t="s">
        <v>761</v>
      </c>
      <c r="D20" s="230"/>
      <c r="E20" s="182" t="str">
        <f ca="1">IF(ISERROR($V20),"",OFFSET('Smelter Look-up'!$D$4,$V20-4,0)&amp;"")</f>
        <v>TAIWAN, PROVINCE OF CHINA</v>
      </c>
      <c r="F20" s="182" t="str">
        <f ca="1">IF(ISERROR($V20),"",OFFSET('Smelter Look-up'!$E$4,$V20-4,0))</f>
        <v>CID001539</v>
      </c>
      <c r="G20" s="182" t="str">
        <f ca="1">IF(C20=$X$4,IF(ISERROR($V20),"Enter smelter details","RMI"),IF(ISERROR($V20),"",OFFSET('Smelter Look-up'!$F$4,$V20-4,0)))</f>
        <v>RMI</v>
      </c>
      <c r="H20" s="183">
        <f ca="1">IF(ISERROR($V20),"",OFFSET('Smelter Look-up'!$G$4,$V20-4,0))</f>
        <v>0</v>
      </c>
      <c r="I20" s="184" t="str">
        <f ca="1">IF(ISERROR($V20),"",OFFSET('Smelter Look-up'!$H$4,$V20-4,0))</f>
        <v>Longtan Shiang Taoyuan</v>
      </c>
      <c r="J20" s="184" t="str">
        <f ca="1">IF(ISERROR($V20),"",OFFSET('Smelter Look-up'!$I$4,$V20-4,0))</f>
        <v>Taoyuan</v>
      </c>
      <c r="K20" s="224"/>
      <c r="L20" s="224"/>
      <c r="M20" s="224"/>
      <c r="N20" s="224"/>
      <c r="O20" s="224"/>
      <c r="P20" s="185"/>
      <c r="Q20" s="225"/>
      <c r="R20" s="182" t="str">
        <f ca="1">IF(ISERROR($V20),"",OFFSET('Smelter Look-up'!$C$4,$V20-4,0)&amp;"")</f>
        <v>Rui Da Hung</v>
      </c>
      <c r="S20" s="181" t="str">
        <f t="shared" ca="1" si="2"/>
        <v>TW</v>
      </c>
      <c r="T20" s="181" t="str">
        <f ca="1">IF(B20="","",IF(ISERROR(MATCH($J20,SorP!$B$1:$B$6226,0)),"",INDIRECT("'SorP'!$A$"&amp;MATCH($S20&amp;$J20,SorP!C:C,0))))</f>
        <v>TW-TAO</v>
      </c>
      <c r="U20" s="201"/>
      <c r="V20" s="226">
        <f>IF(C20="",NA(),IF(OR(C20="Smelter not listed",C20="Smelter not yet identified"),MATCH($B20&amp;$D20,'Smelter Look-up'!$J:$J,0),MATCH($B20&amp;$C20,'Smelter Look-up'!$J:$J,0)))</f>
        <v>515</v>
      </c>
      <c r="X20" s="227">
        <f t="shared" ca="1" si="3"/>
        <v>0</v>
      </c>
      <c r="AB20" s="228" t="str">
        <f t="shared" si="4"/>
        <v>TinRui Da Hung</v>
      </c>
    </row>
    <row r="21" spans="1:28" s="227" customFormat="1" ht="27">
      <c r="A21" s="181"/>
      <c r="B21" s="182" t="s">
        <v>1099</v>
      </c>
      <c r="C21" s="186" t="s">
        <v>1000</v>
      </c>
      <c r="D21" s="230"/>
      <c r="E21" s="182" t="str">
        <f ca="1">IF(ISERROR($V21),"",OFFSET('Smelter Look-up'!$D$4,$V21-4,0)&amp;"")</f>
        <v>THAILAND</v>
      </c>
      <c r="F21" s="182" t="str">
        <f ca="1">IF(ISERROR($V21),"",OFFSET('Smelter Look-up'!$E$4,$V21-4,0))</f>
        <v>CID001898</v>
      </c>
      <c r="G21" s="182" t="str">
        <f ca="1">IF(C21=$X$4,IF(ISERROR($V21),"Enter smelter details","RMI"),IF(ISERROR($V21),"",OFFSET('Smelter Look-up'!$F$4,$V21-4,0)))</f>
        <v>RMI</v>
      </c>
      <c r="H21" s="183">
        <f ca="1">IF(ISERROR($V21),"",OFFSET('Smelter Look-up'!$G$4,$V21-4,0))</f>
        <v>0</v>
      </c>
      <c r="I21" s="184" t="str">
        <f ca="1">IF(ISERROR($V21),"",OFFSET('Smelter Look-up'!$H$4,$V21-4,0))</f>
        <v>Amphur Muang</v>
      </c>
      <c r="J21" s="184" t="str">
        <f ca="1">IF(ISERROR($V21),"",OFFSET('Smelter Look-up'!$I$4,$V21-4,0))</f>
        <v>Phuket</v>
      </c>
      <c r="K21" s="224"/>
      <c r="L21" s="224"/>
      <c r="M21" s="224"/>
      <c r="N21" s="224"/>
      <c r="O21" s="224"/>
      <c r="P21" s="185"/>
      <c r="Q21" s="225"/>
      <c r="R21" s="182" t="str">
        <f ca="1">IF(ISERROR($V21),"",OFFSET('Smelter Look-up'!$C$4,$V21-4,0)&amp;"")</f>
        <v>Thaisarco</v>
      </c>
      <c r="S21" s="181" t="str">
        <f t="shared" ca="1" si="2"/>
        <v>TH</v>
      </c>
      <c r="T21" s="181" t="str">
        <f ca="1">IF(B21="","",IF(ISERROR(MATCH($J21,SorP!$B$1:$B$6226,0)),"",INDIRECT("'SorP'!$A$"&amp;MATCH($S21&amp;$J21,SorP!C:C,0))))</f>
        <v>TH-83</v>
      </c>
      <c r="U21" s="201"/>
      <c r="V21" s="226">
        <f>IF(C21="",NA(),IF(OR(C21="Smelter not listed",C21="Smelter not yet identified"),MATCH($B21&amp;$D21,'Smelter Look-up'!$J:$J,0),MATCH($B21&amp;$C21,'Smelter Look-up'!$J:$J,0)))</f>
        <v>521</v>
      </c>
      <c r="X21" s="227">
        <f t="shared" ca="1" si="3"/>
        <v>0</v>
      </c>
      <c r="AB21" s="228" t="str">
        <f t="shared" si="4"/>
        <v>TinThaisarco</v>
      </c>
    </row>
    <row r="22" spans="1:28" s="227" customFormat="1" ht="94.5">
      <c r="A22" s="181"/>
      <c r="B22" s="182" t="s">
        <v>1099</v>
      </c>
      <c r="C22" s="186" t="s">
        <v>15303</v>
      </c>
      <c r="D22" s="230"/>
      <c r="E22" s="182" t="str">
        <f ca="1">IF(ISERROR($V22),"",OFFSET('Smelter Look-up'!$D$4,$V22-4,0)&amp;"")</f>
        <v>CHINA</v>
      </c>
      <c r="F22" s="182" t="str">
        <f ca="1">IF(ISERROR($V22),"",OFFSET('Smelter Look-up'!$E$4,$V22-4,0))</f>
        <v>CID002180</v>
      </c>
      <c r="G22" s="182" t="str">
        <f ca="1">IF(C22=$X$4,IF(ISERROR($V22),"Enter smelter details","RMI"),IF(ISERROR($V22),"",OFFSET('Smelter Look-up'!$F$4,$V22-4,0)))</f>
        <v>RMI</v>
      </c>
      <c r="H22" s="183">
        <f ca="1">IF(ISERROR($V22),"",OFFSET('Smelter Look-up'!$G$4,$V22-4,0))</f>
        <v>0</v>
      </c>
      <c r="I22" s="184" t="str">
        <f ca="1">IF(ISERROR($V22),"",OFFSET('Smelter Look-up'!$H$4,$V22-4,0))</f>
        <v>Gejiu</v>
      </c>
      <c r="J22" s="184" t="str">
        <f ca="1">IF(ISERROR($V22),"",OFFSET('Smelter Look-up'!$I$4,$V22-4,0))</f>
        <v>Yunnan Sheng</v>
      </c>
      <c r="K22" s="224"/>
      <c r="L22" s="224"/>
      <c r="M22" s="224"/>
      <c r="N22" s="224"/>
      <c r="O22" s="224"/>
      <c r="P22" s="185"/>
      <c r="Q22" s="225"/>
      <c r="R22" s="182" t="str">
        <f ca="1">IF(ISERROR($V22),"",OFFSET('Smelter Look-up'!$C$4,$V22-4,0)&amp;"")</f>
        <v>Tin Smelting Branch of Yunnan Tin Co., Ltd.</v>
      </c>
      <c r="S22" s="181" t="str">
        <f t="shared" ca="1" si="2"/>
        <v>CN</v>
      </c>
      <c r="T22" s="181" t="str">
        <f ca="1">IF(B22="","",IF(ISERROR(MATCH($J22,SorP!$B$1:$B$6226,0)),"",INDIRECT("'SorP'!$A$"&amp;MATCH($S22&amp;$J22,SorP!C:C,0))))</f>
        <v>CN-YN</v>
      </c>
      <c r="U22" s="201"/>
      <c r="V22" s="226">
        <f>IF(C22="",NA(),IF(OR(C22="Smelter not listed",C22="Smelter not yet identified"),MATCH($B22&amp;$D22,'Smelter Look-up'!$J:$J,0),MATCH($B22&amp;$C22,'Smelter Look-up'!$J:$J,0)))</f>
        <v>524</v>
      </c>
      <c r="X22" s="227">
        <f t="shared" ca="1" si="3"/>
        <v>0</v>
      </c>
      <c r="AB22" s="228" t="str">
        <f t="shared" si="4"/>
        <v>TinTin Smelting Branch of Yunnan Tin Co., Ltd.</v>
      </c>
    </row>
    <row r="23" spans="1:28" s="227" customFormat="1" ht="20">
      <c r="A23" s="181"/>
      <c r="B23" s="182"/>
      <c r="C23" s="186"/>
      <c r="D23" s="230"/>
      <c r="E23" s="182"/>
      <c r="F23" s="182"/>
      <c r="G23" s="182"/>
      <c r="H23" s="183"/>
      <c r="I23" s="184"/>
      <c r="J23" s="184"/>
      <c r="K23" s="224"/>
      <c r="L23" s="224"/>
      <c r="M23" s="224"/>
      <c r="N23" s="224"/>
      <c r="O23" s="224"/>
      <c r="P23" s="185"/>
      <c r="Q23" s="225"/>
      <c r="R23" s="182"/>
      <c r="S23" s="181"/>
      <c r="T23" s="181"/>
      <c r="U23" s="201"/>
      <c r="V23" s="226"/>
      <c r="AB23" s="228"/>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4">
    <cfRule type="expression" dxfId="22" priority="7" stopIfTrue="1">
      <formula>IF(B5="",TRUE)</formula>
    </cfRule>
    <cfRule type="expression" dxfId="21" priority="8" stopIfTrue="1">
      <formula>IF(AND(COUNTIF(MetalSmelter,B5&amp;C5)=0,LEN(C5)&gt;0),TRUE,FALSE)</formula>
    </cfRule>
  </conditionalFormatting>
  <conditionalFormatting sqref="C5:C2504">
    <cfRule type="expression" dxfId="20" priority="15" stopIfTrue="1">
      <formula>IF(AND(B5&lt;&gt;"",C5=""),TRUE)</formula>
    </cfRule>
  </conditionalFormatting>
  <conditionalFormatting sqref="D5:D22 D24:D2504">
    <cfRule type="expression" dxfId="19" priority="19" stopIfTrue="1">
      <formula>IF(AND(LEN($C5)&gt;0,AND($C5&lt;&gt;"Smelter Not Listed",ISBLANK($D5))),1,0)</formula>
    </cfRule>
    <cfRule type="expression" dxfId="18" priority="26" stopIfTrue="1">
      <formula>IF(AND(D5="",$C5=$X$4),TRUE)</formula>
    </cfRule>
    <cfRule type="expression" dxfId="17" priority="27" stopIfTrue="1">
      <formula>IF(FIND("!",D5),TRUE)</formula>
    </cfRule>
  </conditionalFormatting>
  <conditionalFormatting sqref="E5:E22 R5:R2504 E24:E2504">
    <cfRule type="expression" dxfId="16" priority="13" stopIfTrue="1">
      <formula>IF(AND(E5="",$C5=$X$4),TRUE)</formula>
    </cfRule>
    <cfRule type="expression" dxfId="15" priority="14" stopIfTrue="1">
      <formula>IF(FIND("!",E5),TRUE)</formula>
    </cfRule>
  </conditionalFormatting>
  <conditionalFormatting sqref="F5:F22 F24:F2504">
    <cfRule type="expression" dxfId="14" priority="11" stopIfTrue="1">
      <formula>IF(AND(LEN($A5)&gt;0,$A5&lt;&gt;$F5),TRUE,FALSE)</formula>
    </cfRule>
  </conditionalFormatting>
  <conditionalFormatting sqref="G5:G2504">
    <cfRule type="expression" dxfId="13" priority="28" stopIfTrue="1">
      <formula>IF(FIND("Enter smelter details",G5),TRUE)</formula>
    </cfRule>
  </conditionalFormatting>
  <conditionalFormatting sqref="D23">
    <cfRule type="expression" dxfId="12" priority="4" stopIfTrue="1">
      <formula>IF(AND(LEN($C23)&gt;0,AND($C23&lt;&gt;"Smelter Not Listed",ISBLANK($D23))),1,0)</formula>
    </cfRule>
    <cfRule type="expression" dxfId="11" priority="5" stopIfTrue="1">
      <formula>IF(AND(D23="",$C23=$X$4),TRUE)</formula>
    </cfRule>
    <cfRule type="expression" dxfId="10" priority="6" stopIfTrue="1">
      <formula>IF(FIND("!",D23),TRUE)</formula>
    </cfRule>
  </conditionalFormatting>
  <conditionalFormatting sqref="E23">
    <cfRule type="expression" dxfId="9" priority="2" stopIfTrue="1">
      <formula>IF(AND(E23="",$C23=$X$4),TRUE)</formula>
    </cfRule>
    <cfRule type="expression" dxfId="8" priority="3" stopIfTrue="1">
      <formula>IF(FIND("!",E23),TRUE)</formula>
    </cfRule>
  </conditionalFormatting>
  <conditionalFormatting sqref="F23">
    <cfRule type="expression" dxfId="7" priority="1" stopIfTrue="1">
      <formula>IF(AND(LEN($A23)&gt;0,$A23&lt;&gt;$F23),TRUE,FALSE)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2"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10"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1"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NICHICON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67.5">
      <c r="A6" s="90" t="str">
        <f ca="1">Declaration!B10</f>
        <v>Description of Scope:</v>
      </c>
      <c r="B6" s="89" t="str">
        <f>Declaration!D10</f>
        <v>Miniature type aluminum electrolytic capacitors, Chip type aluminum electrolytic capacitors, Conductive polymer hybrid aluminum electrolytic capacitors, Large can type aluminum electrolytic capacitors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MAIKA TSUCHIE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tsuchie.maika@nichicon.com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075-241-5335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KENJI WATANABE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watanabe.kenji@nichicon.com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45797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https://www.nichicon.co.jp/company/sustainability/society/supply_chain/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www.w3.org/XML/1998/namespace"/>
    <ds:schemaRef ds:uri="http://schemas.microsoft.com/office/2006/metadata/properties"/>
    <ds:schemaRef ds:uri="6e8a5f3d-031c-4996-804e-0e28298fe1e2"/>
    <ds:schemaRef ds:uri="http://purl.org/dc/elements/1.1/"/>
    <ds:schemaRef ds:uri="http://purl.org/dc/dcmitype/"/>
    <ds:schemaRef ds:uri="http://schemas.openxmlformats.org/package/2006/metadata/core-properties"/>
    <ds:schemaRef ds:uri="http://schemas.microsoft.com/office/infopath/2007/PartnerControls"/>
    <ds:schemaRef ds:uri="a54701f6-876b-4337-a24e-543e1bd311e6"/>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Mark Gebbia</cp:lastModifiedBy>
  <cp:lastPrinted>2015-04-21T20:47:43Z</cp:lastPrinted>
  <dcterms:created xsi:type="dcterms:W3CDTF">2010-06-21T21:00:23Z</dcterms:created>
  <dcterms:modified xsi:type="dcterms:W3CDTF">2025-05-27T18:39:15Z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